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 firstSheet="1" activeTab="7"/>
  </bookViews>
  <sheets>
    <sheet name="foxz" sheetId="23" state="veryHidden" r:id="rId1"/>
    <sheet name="96" sheetId="13" r:id="rId2"/>
    <sheet name="97" sheetId="14" r:id="rId3"/>
    <sheet name="98" sheetId="15" r:id="rId4"/>
    <sheet name="99" sheetId="16" r:id="rId5"/>
    <sheet name="100" sheetId="25" r:id="rId6"/>
    <sheet name="101" sheetId="22" r:id="rId7"/>
    <sheet name="102" sheetId="24" r:id="rId8"/>
  </sheets>
  <definedNames>
    <definedName name="_??">BlankMacro1</definedName>
    <definedName name="_??????1">BlankMacro1</definedName>
    <definedName name="_??????2">BlankMacro1</definedName>
    <definedName name="_??????3">BlankMacro1</definedName>
    <definedName name="_??????4">BlankMacro1</definedName>
    <definedName name="_??????5">BlankMacro1</definedName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a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a1" localSheetId="7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7" hidden="1">{"'Sheet1'!$L$16"}</definedName>
    <definedName name="____B1" hidden="1">{"'Sheet1'!$L$16"}</definedName>
    <definedName name="____ban2" localSheetId="7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localSheetId="7" hidden="1">{"'Sheet1'!$L$16"}</definedName>
    <definedName name="____h1" hidden="1">{"'Sheet1'!$L$16"}</definedName>
    <definedName name="____hu1" localSheetId="7" hidden="1">{"'Sheet1'!$L$16"}</definedName>
    <definedName name="____hu1" hidden="1">{"'Sheet1'!$L$16"}</definedName>
    <definedName name="____hu2" localSheetId="7" hidden="1">{"'Sheet1'!$L$16"}</definedName>
    <definedName name="____hu2" hidden="1">{"'Sheet1'!$L$16"}</definedName>
    <definedName name="____hu5" localSheetId="7" hidden="1">{"'Sheet1'!$L$16"}</definedName>
    <definedName name="____hu5" hidden="1">{"'Sheet1'!$L$16"}</definedName>
    <definedName name="____hu6" localSheetId="7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localSheetId="7" hidden="1">{"'Sheet1'!$L$16"}</definedName>
    <definedName name="____M36" hidden="1">{"'Sheet1'!$L$16"}</definedName>
    <definedName name="____NSO2" hidden="1">{"'Sheet1'!$L$16"}</definedName>
    <definedName name="____PA3" localSheetId="7" hidden="1">{"'Sheet1'!$L$16"}</definedName>
    <definedName name="____PA3" hidden="1">{"'Sheet1'!$L$16"}</definedName>
    <definedName name="____Pl2" localSheetId="7" hidden="1">{"'Sheet1'!$L$16"}</definedName>
    <definedName name="____Pl2" hidden="1">{"'Sheet1'!$L$16"}</definedName>
    <definedName name="____Tru21" localSheetId="7" hidden="1">{"'Sheet1'!$L$16"}</definedName>
    <definedName name="____Tru21" hidden="1">{"'Sheet1'!$L$16"}</definedName>
    <definedName name="____tt3" hidden="1">{"'Sheet1'!$L$16"}</definedName>
    <definedName name="____TT31" hidden="1">{"'Sheet1'!$L$16"}</definedName>
    <definedName name="____xlfn.BAHTTEXT" hidden="1">#NAME?</definedName>
    <definedName name="___a1" localSheetId="7" hidden="1">{"'Sheet1'!$L$16"}</definedName>
    <definedName name="___a1" hidden="1">{"'Sheet1'!$L$16"}</definedName>
    <definedName name="___B1" localSheetId="7" hidden="1">{"'Sheet1'!$L$16"}</definedName>
    <definedName name="___B1" hidden="1">{"'Sheet1'!$L$16"}</definedName>
    <definedName name="___ban2" localSheetId="7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localSheetId="7" hidden="1">{"'Sheet1'!$L$16"}</definedName>
    <definedName name="___h1" hidden="1">{"'Sheet1'!$L$16"}</definedName>
    <definedName name="___hsm2">1.1289</definedName>
    <definedName name="___hu1" localSheetId="7" hidden="1">{"'Sheet1'!$L$16"}</definedName>
    <definedName name="___hu1" hidden="1">{"'Sheet1'!$L$16"}</definedName>
    <definedName name="___hu2" localSheetId="7" hidden="1">{"'Sheet1'!$L$16"}</definedName>
    <definedName name="___hu2" hidden="1">{"'Sheet1'!$L$16"}</definedName>
    <definedName name="___hu5" localSheetId="7" hidden="1">{"'Sheet1'!$L$16"}</definedName>
    <definedName name="___hu5" hidden="1">{"'Sheet1'!$L$16"}</definedName>
    <definedName name="___hu6" localSheetId="7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localSheetId="7" hidden="1">{"'Sheet1'!$L$16"}</definedName>
    <definedName name="___M36" hidden="1">{"'Sheet1'!$L$16"}</definedName>
    <definedName name="___NSO2" localSheetId="7" hidden="1">{"'Sheet1'!$L$16"}</definedName>
    <definedName name="___NSO2" hidden="1">{"'Sheet1'!$L$16"}</definedName>
    <definedName name="___PA3" localSheetId="7" hidden="1">{"'Sheet1'!$L$16"}</definedName>
    <definedName name="___PA3" hidden="1">{"'Sheet1'!$L$16"}</definedName>
    <definedName name="___Pl2" localSheetId="7" hidden="1">{"'Sheet1'!$L$16"}</definedName>
    <definedName name="___Pl2" hidden="1">{"'Sheet1'!$L$16"}</definedName>
    <definedName name="___PL3" localSheetId="7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7" hidden="1">{"'Sheet1'!$L$16"}</definedName>
    <definedName name="___Tru21" hidden="1">{"'Sheet1'!$L$16"}</definedName>
    <definedName name="___tt3" hidden="1">{"'Sheet1'!$L$16"}</definedName>
    <definedName name="___TT31" hidden="1">{"'Sheet1'!$L$16"}</definedName>
    <definedName name="___xlfn.BAHTTEXT" hidden="1">#NAME?</definedName>
    <definedName name="__a1" localSheetId="7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7" hidden="1">{"'Sheet1'!$L$16"}</definedName>
    <definedName name="__B1" hidden="1">{"'Sheet1'!$L$16"}</definedName>
    <definedName name="__ban2" localSheetId="7" hidden="1">{"'Sheet1'!$L$16"}</definedName>
    <definedName name="__ban2" hidden="1">{"'Sheet1'!$L$16"}</definedName>
    <definedName name="__cep1" hidden="1">{"'Sheet1'!$L$16"}</definedName>
    <definedName name="__Coc39" hidden="1">{"'Sheet1'!$L$16"}</definedName>
    <definedName name="__Goi8" hidden="1">{"'Sheet1'!$L$16"}</definedName>
    <definedName name="__h1" localSheetId="7" hidden="1">{"'Sheet1'!$L$16"}</definedName>
    <definedName name="__h1" hidden="1">{"'Sheet1'!$L$16"}</definedName>
    <definedName name="__hsm2">1.1289</definedName>
    <definedName name="__hu1" localSheetId="7" hidden="1">{"'Sheet1'!$L$16"}</definedName>
    <definedName name="__hu1" hidden="1">{"'Sheet1'!$L$16"}</definedName>
    <definedName name="__hu2" localSheetId="7" hidden="1">{"'Sheet1'!$L$16"}</definedName>
    <definedName name="__hu2" hidden="1">{"'Sheet1'!$L$16"}</definedName>
    <definedName name="__hu5" localSheetId="7" hidden="1">{"'Sheet1'!$L$16"}</definedName>
    <definedName name="__hu5" hidden="1">{"'Sheet1'!$L$16"}</definedName>
    <definedName name="__hu6" localSheetId="7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Lan1" hidden="1">{"'Sheet1'!$L$16"}</definedName>
    <definedName name="__LAN3" hidden="1">{"'Sheet1'!$L$16"}</definedName>
    <definedName name="__lk2" hidden="1">{"'Sheet1'!$L$16"}</definedName>
    <definedName name="__M36" localSheetId="7" hidden="1">{"'Sheet1'!$L$16"}</definedName>
    <definedName name="__M36" hidden="1">{"'Sheet1'!$L$16"}</definedName>
    <definedName name="__NSO2" localSheetId="7" hidden="1">{"'Sheet1'!$L$16"}</definedName>
    <definedName name="__NSO2" hidden="1">{"'Sheet1'!$L$16"}</definedName>
    <definedName name="__PA3" localSheetId="7" hidden="1">{"'Sheet1'!$L$16"}</definedName>
    <definedName name="__PA3" hidden="1">{"'Sheet1'!$L$16"}</definedName>
    <definedName name="__Pl2" localSheetId="7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7" hidden="1">{"'Sheet1'!$L$16"}</definedName>
    <definedName name="__Tru21" hidden="1">{"'Sheet1'!$L$16"}</definedName>
    <definedName name="__tt3" hidden="1">{"'Sheet1'!$L$16"}</definedName>
    <definedName name="__TT31" hidden="1">{"'Sheet1'!$L$16"}</definedName>
    <definedName name="__vl2" hidden="1">{"'Sheet1'!$L$16"}</definedName>
    <definedName name="__xlfn.BAHTTEXT" hidden="1">#NAME?</definedName>
    <definedName name="_40x4">5100</definedName>
    <definedName name="_a1" localSheetId="7" hidden="1">{"'Sheet1'!$L$16"}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localSheetId="7" hidden="1">{"'Sheet1'!$L$16"}</definedName>
    <definedName name="_B1" hidden="1">{"'Sheet1'!$L$16"}</definedName>
    <definedName name="_ba1" hidden="1">{#N/A,#N/A,FALSE,"Chi tiÆt"}</definedName>
    <definedName name="_ban2" localSheetId="7" hidden="1">{"'Sheet1'!$L$16"}</definedName>
    <definedName name="_ban2" hidden="1">{"'Sheet1'!$L$16"}</definedName>
    <definedName name="_Builtin155" hidden="1">#N/A</definedName>
    <definedName name="_cep1" hidden="1">{"'Sheet1'!$L$16"}</definedName>
    <definedName name="_Coc39" hidden="1">{"'Sheet1'!$L$16"}</definedName>
    <definedName name="_d1500" hidden="1">{"'Sheet1'!$L$16"}</definedName>
    <definedName name="_f5" hidden="1">{"'Sheet1'!$L$16"}</definedName>
    <definedName name="_Fill" localSheetId="7" hidden="1">#REF!</definedName>
    <definedName name="_Fill" hidden="1">#REF!</definedName>
    <definedName name="_xlnm._FilterDatabase" localSheetId="7" hidden="1">#REF!</definedName>
    <definedName name="_xlnm._FilterDatabase" hidden="1">#REF!</definedName>
    <definedName name="_Goi8" hidden="1">{"'Sheet1'!$L$16"}</definedName>
    <definedName name="_h1" localSheetId="7" hidden="1">{"'Sheet1'!$L$16"}</definedName>
    <definedName name="_h1" hidden="1">{"'Sheet1'!$L$16"}</definedName>
    <definedName name="_hsm2">1.1289</definedName>
    <definedName name="_hu1" localSheetId="7" hidden="1">{"'Sheet1'!$L$16"}</definedName>
    <definedName name="_hu1" hidden="1">{"'Sheet1'!$L$16"}</definedName>
    <definedName name="_hu2" localSheetId="7" hidden="1">{"'Sheet1'!$L$16"}</definedName>
    <definedName name="_hu2" hidden="1">{"'Sheet1'!$L$16"}</definedName>
    <definedName name="_hu5" localSheetId="7" hidden="1">{"'Sheet1'!$L$16"}</definedName>
    <definedName name="_hu5" hidden="1">{"'Sheet1'!$L$16"}</definedName>
    <definedName name="_hu6" localSheetId="7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7" hidden="1">#REF!</definedName>
    <definedName name="_Key1" hidden="1">#REF!</definedName>
    <definedName name="_Key2" localSheetId="7" hidden="1">#REF!</definedName>
    <definedName name="_Key2" hidden="1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k2" hidden="1">{"'Sheet1'!$L$16"}</definedName>
    <definedName name="_m1233" hidden="1">{"'Sheet1'!$L$16"}</definedName>
    <definedName name="_M2" hidden="1">{"'Sheet1'!$L$16"}</definedName>
    <definedName name="_M36" localSheetId="7" hidden="1">{"'Sheet1'!$L$16"}</definedName>
    <definedName name="_M36" hidden="1">{"'Sheet1'!$L$16"}</definedName>
    <definedName name="_nam1" hidden="1">{"'Sheet1'!$L$16"}</definedName>
    <definedName name="_nam2" hidden="1">{#N/A,#N/A,FALSE,"Chi tiÆt"}</definedName>
    <definedName name="_nam3" hidden="1">{"'Sheet1'!$L$16"}</definedName>
    <definedName name="_nh2" hidden="1">{#N/A,#N/A,FALSE,"Chi tiÆt"}</definedName>
    <definedName name="_NSO2" localSheetId="7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7" hidden="1">{"'Sheet1'!$L$16"}</definedName>
    <definedName name="_PA3" hidden="1">{"'Sheet1'!$L$16"}</definedName>
    <definedName name="_phu3" hidden="1">{"'Sheet1'!$L$16"}</definedName>
    <definedName name="_Pl2" localSheetId="7" hidden="1">{"'Sheet1'!$L$16"}</definedName>
    <definedName name="_Pl2" hidden="1">{"'Sheet1'!$L$16"}</definedName>
    <definedName name="_PL3" localSheetId="7" hidden="1">#REF!</definedName>
    <definedName name="_PL3" hidden="1">#REF!</definedName>
    <definedName name="_SOC10">0.3456</definedName>
    <definedName name="_SOC8">0.2827</definedName>
    <definedName name="_Sort" localSheetId="7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ru21" localSheetId="7" hidden="1">{"'Sheet1'!$L$16"}</definedName>
    <definedName name="_Tru21" hidden="1">{"'Sheet1'!$L$16"}</definedName>
    <definedName name="_tt3" hidden="1">{"'Sheet1'!$L$16"}</definedName>
    <definedName name="_TT31" hidden="1">{"'Sheet1'!$L$16"}</definedName>
    <definedName name="_vl2" hidden="1">{"'Sheet1'!$L$16"}</definedName>
    <definedName name="a" localSheetId="7" hidden="1">{"'Sheet1'!$L$16"}</definedName>
    <definedName name="a" hidden="1">{"'Sheet1'!$L$16"}</definedName>
    <definedName name="àaaaa" localSheetId="5">#REF!</definedName>
    <definedName name="ABC" localSheetId="7" hidden="1">#REF!</definedName>
    <definedName name="ABC" hidden="1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áef" localSheetId="5">BlankMacro1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localSheetId="7" hidden="1">{"'Sheet1'!$L$16"}</definedName>
    <definedName name="ATGT" hidden="1">{"'Sheet1'!$L$16"}</definedName>
    <definedName name="B.nuamat">7.25</definedName>
    <definedName name="banql" hidden="1">{"'Sheet1'!$L$16"}</definedName>
    <definedName name="bdd">1.5</definedName>
    <definedName name="Bgiang" hidden="1">{"'Sheet1'!$L$16"}</definedName>
    <definedName name="Bm">3.5</definedName>
    <definedName name="Bn">6.5</definedName>
    <definedName name="bql" hidden="1">{#N/A,#N/A,FALSE,"Chi tiÆt"}</definedName>
    <definedName name="Bulongma">8700</definedName>
    <definedName name="C.doc1">540</definedName>
    <definedName name="C.doc2">740</definedName>
    <definedName name="CACAU">298161</definedName>
    <definedName name="Capvon" hidden="1">{#N/A,#N/A,FALSE,"Chi tiÆt"}</definedName>
    <definedName name="CBTH" hidden="1">{"'Sheet1'!$L$16"}</definedName>
    <definedName name="CDTK_tim">31.77</definedName>
    <definedName name="Chiettinh" hidden="1">{"'Sheet1'!$L$16"}</definedName>
    <definedName name="chilk" hidden="1">{"'Sheet1'!$L$16"}</definedName>
    <definedName name="chitietbgiang2" localSheetId="7" hidden="1">{"'Sheet1'!$L$16"}</definedName>
    <definedName name="chitietbgiang2" hidden="1">{"'Sheet1'!$L$16"}</definedName>
    <definedName name="chl" hidden="1">{"'Sheet1'!$L$16"}</definedName>
    <definedName name="chung">66</definedName>
    <definedName name="CLVC3">0.1</definedName>
    <definedName name="co_cau_ktqd" hidden="1">#N/A</definedName>
    <definedName name="Coc_60" hidden="1">{"'Sheet1'!$L$16"}</definedName>
    <definedName name="CoCauN" localSheetId="7" hidden="1">{"'Sheet1'!$L$16"}</definedName>
    <definedName name="CoCauN" hidden="1">{"'Sheet1'!$L$16"}</definedName>
    <definedName name="Code" localSheetId="7" hidden="1">#REF!</definedName>
    <definedName name="Code" hidden="1">#REF!</definedName>
    <definedName name="Comm">BlankMacro1</definedName>
    <definedName name="Cotsatma">9726</definedName>
    <definedName name="Cotthepma">9726</definedName>
    <definedName name="CP" localSheetId="7" hidden="1">#REF!</definedName>
    <definedName name="CP" hidden="1">#REF!</definedName>
    <definedName name="CTCT1" localSheetId="7" hidden="1">{"'Sheet1'!$L$16"}</definedName>
    <definedName name="CTCT1" hidden="1">{"'Sheet1'!$L$16"}</definedName>
    <definedName name="d" hidden="1">{"'Sheet1'!$L$16"}</definedName>
    <definedName name="dam">78000</definedName>
    <definedName name="data1" localSheetId="7" hidden="1">#REF!</definedName>
    <definedName name="data1" hidden="1">#REF!</definedName>
    <definedName name="data2" localSheetId="7" hidden="1">#REF!</definedName>
    <definedName name="data2" hidden="1">#REF!</definedName>
    <definedName name="data3" localSheetId="7" hidden="1">#REF!</definedName>
    <definedName name="data3" hidden="1">#REF!</definedName>
    <definedName name="DCL_22">12117600</definedName>
    <definedName name="DCL_35">25490000</definedName>
    <definedName name="dđ" hidden="1">{"'Sheet1'!$L$16"}</definedName>
    <definedName name="dddem">0.1</definedName>
    <definedName name="DenDK" hidden="1">{"'Sheet1'!$L$16"}</definedName>
    <definedName name="dfg" hidden="1">{"'Sheet1'!$L$16"}</definedName>
    <definedName name="DFSDF" hidden="1">{"'Sheet1'!$L$16"}</definedName>
    <definedName name="dfvssd" hidden="1">#REF!</definedName>
    <definedName name="dgctp2" hidden="1">{"'Sheet1'!$L$16"}</definedName>
    <definedName name="dien" hidden="1">{"'Sheet1'!$L$16"}</definedName>
    <definedName name="Discount" localSheetId="7" hidden="1">#REF!</definedName>
    <definedName name="Discount" hidden="1">#REF!</definedName>
    <definedName name="display_area_2" localSheetId="7" hidden="1">#REF!</definedName>
    <definedName name="display_area_2" hidden="1">#REF!</definedName>
    <definedName name="docdoc">0.03125</definedName>
    <definedName name="Document_array">{"Book1","KK- bc  hoa don T9.xls"}</definedName>
    <definedName name="Dot" hidden="1">{"'Sheet1'!$L$16"}</definedName>
    <definedName name="dotcong">1</definedName>
    <definedName name="drf" localSheetId="7" hidden="1">#REF!</definedName>
    <definedName name="drf" hidden="1">#REF!</definedName>
    <definedName name="ds" localSheetId="7" hidden="1">{#N/A,#N/A,FALSE,"Chi tiÆt"}</definedName>
    <definedName name="ds" hidden="1">{#N/A,#N/A,FALSE,"Chi tiÆt"}</definedName>
    <definedName name="dsfsd" hidden="1">#REF!</definedName>
    <definedName name="dsh" localSheetId="7" hidden="1">#REF!</definedName>
    <definedName name="dsh" hidden="1">#REF!</definedName>
    <definedName name="Duongnaco" hidden="1">{"'Sheet1'!$L$16"}</definedName>
    <definedName name="duongvt" hidden="1">{"'Sheet1'!$L$16"}</definedName>
    <definedName name="dvgfsgdsdg" hidden="1">#REF!</definedName>
    <definedName name="E.chandoc">8.875</definedName>
    <definedName name="E.PC">10.438</definedName>
    <definedName name="E.PVI">12</definedName>
    <definedName name="faasdf" hidden="1">#REF!</definedName>
    <definedName name="FCode" localSheetId="7" hidden="1">#REF!</definedName>
    <definedName name="FCode" hidden="1">#REF!</definedName>
    <definedName name="fdfsf" hidden="1">{#N/A,#N/A,FALSE,"Chi tiÆt"}</definedName>
    <definedName name="FFF" localSheetId="5">BlankMacro1</definedName>
    <definedName name="fff" hidden="1">{"'Sheet1'!$L$16"}</definedName>
    <definedName name="FI_12">4820</definedName>
    <definedName name="FIT">BlankMacro1</definedName>
    <definedName name="FITT2">BlankMacro1</definedName>
    <definedName name="FITTING2">BlankMacro1</definedName>
    <definedName name="FLG">BlankMacro1</definedName>
    <definedName name="fsd" hidden="1">{"'Sheet1'!$L$16"}</definedName>
    <definedName name="fsdfdsf" hidden="1">{"'Sheet1'!$L$16"}</definedName>
    <definedName name="g" localSheetId="7" hidden="1">{"'Sheet1'!$L$16"}</definedName>
    <definedName name="g" hidden="1">{"'Sheet1'!$L$16"}</definedName>
    <definedName name="gewdrg" localSheetId="5">#REF!</definedName>
    <definedName name="gfdgfd" hidden="1">{"'Sheet1'!$L$16"}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h" localSheetId="5" hidden="1">{"'Sheet1'!$L$16"}</definedName>
    <definedName name="h" localSheetId="7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fdsh" hidden="1">#REF!</definedName>
    <definedName name="HiddenRows" localSheetId="7" hidden="1">#REF!</definedName>
    <definedName name="HiddenRows" hidden="1">#REF!</definedName>
    <definedName name="hjjkl" hidden="1">{"'Sheet1'!$L$16"}</definedName>
    <definedName name="hoc">55000</definedName>
    <definedName name="Hong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7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7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rhrt" hidden="1">{"'Sheet1'!$L$16"}</definedName>
    <definedName name="hu" localSheetId="7" hidden="1">{"'Sheet1'!$L$16"}</definedName>
    <definedName name="hu" hidden="1">{"'Sheet1'!$L$16"}</definedName>
    <definedName name="HUU" localSheetId="7" hidden="1">{"'Sheet1'!$L$16"}</definedName>
    <definedName name="HUU" hidden="1">{"'Sheet1'!$L$16"}</definedName>
    <definedName name="huy" localSheetId="5" hidden="1">{"'Sheet1'!$L$16"}</definedName>
    <definedName name="huy" localSheetId="7" hidden="1">{"'Sheet1'!$L$16"}</definedName>
    <definedName name="huy" hidden="1">{"'Sheet1'!$L$16"}</definedName>
    <definedName name="huynh" hidden="1">#REF!</definedName>
    <definedName name="j" localSheetId="7" hidden="1">{"'Sheet1'!$L$16"}</definedName>
    <definedName name="j" hidden="1">{"'Sheet1'!$L$16"}</definedName>
    <definedName name="k" localSheetId="7" hidden="1">{"'Sheet1'!$L$16"}</definedName>
    <definedName name="k" hidden="1">{"'Sheet1'!$L$16"}</definedName>
    <definedName name="khac">2</definedName>
    <definedName name="khla09" hidden="1">{"'Sheet1'!$L$16"}</definedName>
    <definedName name="khongtruotgia" localSheetId="7" hidden="1">{"'Sheet1'!$L$16"}</definedName>
    <definedName name="khongtruotgia" hidden="1">{"'Sheet1'!$L$16"}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duonggiaods" hidden="1">{"'Sheet1'!$L$16"}</definedName>
    <definedName name="ksbn" localSheetId="7" hidden="1">{"'Sheet1'!$L$16"}</definedName>
    <definedName name="ksbn" hidden="1">{"'Sheet1'!$L$16"}</definedName>
    <definedName name="kshn" localSheetId="7" hidden="1">{"'Sheet1'!$L$16"}</definedName>
    <definedName name="kshn" hidden="1">{"'Sheet1'!$L$16"}</definedName>
    <definedName name="ksls" localSheetId="7" hidden="1">{"'Sheet1'!$L$16"}</definedName>
    <definedName name="ksls" hidden="1">{"'Sheet1'!$L$16"}</definedName>
    <definedName name="l" localSheetId="7" hidden="1">{"'Sheet1'!$L$16"}</definedName>
    <definedName name="l" hidden="1">{"'Sheet1'!$L$16"}</definedName>
    <definedName name="l2pa1" hidden="1">{"'Sheet1'!$L$16"}</definedName>
    <definedName name="L63x6">5800</definedName>
    <definedName name="lan" hidden="1">{#N/A,#N/A,TRUE,"BT M200 da 10x20"}</definedName>
    <definedName name="langson" localSheetId="7" hidden="1">{"'Sheet1'!$L$16"}</definedName>
    <definedName name="langson" hidden="1">{"'Sheet1'!$L$16"}</definedName>
    <definedName name="LBS_22">107800000</definedName>
    <definedName name="lk" localSheetId="7" hidden="1">#REF!</definedName>
    <definedName name="lk" hidden="1">#REF!</definedName>
    <definedName name="luc" hidden="1">{"'Sheet1'!$L$16"}</definedName>
    <definedName name="m" localSheetId="7" hidden="1">{"'Sheet1'!$L$16"}</definedName>
    <definedName name="m" hidden="1">{"'Sheet1'!$L$16"}</definedName>
    <definedName name="mai" hidden="1">{"'Sheet1'!$L$16"}</definedName>
    <definedName name="matbang" hidden="1">{"'Sheet1'!$L$16"}</definedName>
    <definedName name="minh" hidden="1">{"'Sheet1'!$L$16"}</definedName>
    <definedName name="mo" localSheetId="7" hidden="1">{"'Sheet1'!$L$16"}</definedName>
    <definedName name="mo" hidden="1">{"'Sheet1'!$L$16"}</definedName>
    <definedName name="moi" localSheetId="7" hidden="1">{"'Sheet1'!$L$16"}</definedName>
    <definedName name="moi" hidden="1">{"'Sheet1'!$L$16"}</definedName>
    <definedName name="mot" hidden="1">{"'Sheet1'!$L$16"}</definedName>
    <definedName name="n" localSheetId="7" hidden="1">{"'Sheet1'!$L$16"}</definedName>
    <definedName name="n" hidden="1">{"'Sheet1'!$L$16"}</definedName>
    <definedName name="nam" hidden="1">{"'Sheet1'!$L$16"}</definedName>
    <definedName name="new" hidden="1">#N/A</definedName>
    <definedName name="ngu" hidden="1">{"'Sheet1'!$L$16"}</definedName>
    <definedName name="NHANH2_CG4" hidden="1">{"'Sheet1'!$L$16"}</definedName>
    <definedName name="nnnn" hidden="1">{"'Sheet1'!$L$16"}</definedName>
    <definedName name="OrderTable" localSheetId="7" hidden="1">#REF!</definedName>
    <definedName name="OrderTable" hidden="1">#REF!</definedName>
    <definedName name="PAIII_" localSheetId="7" hidden="1">{"'Sheet1'!$L$16"}</definedName>
    <definedName name="PAIII_" hidden="1">{"'Sheet1'!$L$16"}</definedName>
    <definedName name="PIP">BlankMacro1</definedName>
    <definedName name="PIPE2">BlankMacro1</definedName>
    <definedName name="PMS" localSheetId="7" hidden="1">{"'Sheet1'!$L$16"}</definedName>
    <definedName name="PMS" hidden="1">{"'Sheet1'!$L$16"}</definedName>
    <definedName name="PPP">BlankMacro1</definedName>
    <definedName name="_xlnm.Print_Area">#REF!</definedName>
    <definedName name="_xlnm.Print_Titles" localSheetId="5">'100'!$10:$12</definedName>
    <definedName name="_xlnm.Print_Titles" localSheetId="7">'102'!$6:$10</definedName>
    <definedName name="_xlnm.Print_Titles" localSheetId="2">'97'!$7:$8</definedName>
    <definedName name="_xlnm.Print_Titles" localSheetId="3">'98'!$7:$8</definedName>
    <definedName name="_xlnm.Print_Titles">#REF!</definedName>
    <definedName name="ProdForm" localSheetId="7" hidden="1">#REF!</definedName>
    <definedName name="ProdForm" hidden="1">#REF!</definedName>
    <definedName name="Product" localSheetId="7" hidden="1">#REF!</definedName>
    <definedName name="Product" hidden="1">#REF!</definedName>
    <definedName name="qa" hidden="1">{"'Sheet1'!$L$16"}</definedName>
    <definedName name="qq" localSheetId="5">BlankMacro1</definedName>
    <definedName name="QQ" hidden="1">{"'Sheet1'!$L$16"}</definedName>
    <definedName name="quoan" hidden="1">{"'Sheet1'!$L$16"}</definedName>
    <definedName name="rate">14000</definedName>
    <definedName name="RCArea" localSheetId="7" hidden="1">#REF!</definedName>
    <definedName name="RCArea" hidden="1">#REF!</definedName>
    <definedName name="re" hidden="1">{"'Sheet1'!$L$16"}</definedName>
    <definedName name="S.dinh">640</definedName>
    <definedName name="san" hidden="1">{"'Sheet1'!$L$16"}</definedName>
    <definedName name="sas" hidden="1">{"'Sheet1'!$L$16"}</definedName>
    <definedName name="sdbv" hidden="1">{"'Sheet1'!$L$16"}</definedName>
    <definedName name="sdfsdfs" hidden="1">#REF!</definedName>
    <definedName name="sencount" hidden="1">2</definedName>
    <definedName name="sfasf" hidden="1">#REF!</definedName>
    <definedName name="sfsad" localSheetId="5">#REF!</definedName>
    <definedName name="sfsd" hidden="1">{"'Sheet1'!$L$16"}</definedName>
    <definedName name="Sosanh2" hidden="1">{"'Sheet1'!$L$16"}</definedName>
    <definedName name="Spanner_Auto_File">"C:\My Documents\tinh cdo.x2a"</definedName>
    <definedName name="SpecialPrice" localSheetId="7" hidden="1">#REF!</definedName>
    <definedName name="SpecialPrice" hidden="1">#REF!</definedName>
    <definedName name="ss" localSheetId="5">BlankMacro1</definedName>
    <definedName name="SS" hidden="1">{"'Sheet1'!$L$16"}</definedName>
    <definedName name="t" localSheetId="7" hidden="1">{"'Sheet1'!$L$16"}</definedName>
    <definedName name="t" hidden="1">{"'Sheet1'!$L$16"}</definedName>
    <definedName name="T.3" hidden="1">{"'Sheet1'!$L$16"}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l_ProdInfo" localSheetId="7" hidden="1">#REF!</definedName>
    <definedName name="tbl_ProdInfo" hidden="1">#REF!</definedName>
    <definedName name="tha" localSheetId="7" hidden="1">{"'Sheet1'!$L$16"}</definedName>
    <definedName name="tha" hidden="1">{"'Sheet1'!$L$16"}</definedName>
    <definedName name="thang10" hidden="1">{"'Sheet1'!$L$16"}</definedName>
    <definedName name="thanh" hidden="1">{"'Sheet1'!$L$16"}</definedName>
    <definedName name="THDA_copy" hidden="1">{"'Sheet1'!$L$16"}</definedName>
    <definedName name="thepma">10500</definedName>
    <definedName name="THKL" hidden="1">{"'Sheet1'!$L$16"}</definedName>
    <definedName name="thkl2" hidden="1">{"'Sheet1'!$L$16"}</definedName>
    <definedName name="thkl3" hidden="1">{"'Sheet1'!$L$16"}</definedName>
    <definedName name="thu" hidden="1">{"'Sheet1'!$L$16"}</definedName>
    <definedName name="thue">6</definedName>
    <definedName name="thuy" hidden="1">{"'Sheet1'!$L$16"}</definedName>
    <definedName name="THXD2" hidden="1">{"'Sheet1'!$L$16"}</definedName>
    <definedName name="Tiepdiama">9500</definedName>
    <definedName name="tonghop" hidden="1">{"'Sheet1'!$L$16"}</definedName>
    <definedName name="TPCP" hidden="1">{"'Sheet1'!$L$16"}</definedName>
    <definedName name="trang" hidden="1">{#N/A,#N/A,FALSE,"Chi tiÆt"}</definedName>
    <definedName name="ttttt" localSheetId="7" hidden="1">{"'Sheet1'!$L$16"}</definedName>
    <definedName name="ttttt" hidden="1">{"'Sheet1'!$L$16"}</definedName>
    <definedName name="TTTTTTTTT" localSheetId="7" hidden="1">{"'Sheet1'!$L$16"}</definedName>
    <definedName name="TTTTTTTTT" hidden="1">{"'Sheet1'!$L$16"}</definedName>
    <definedName name="ttttttttttt" localSheetId="7" hidden="1">{"'Sheet1'!$L$16"}</definedName>
    <definedName name="ttttttttttt" hidden="1">{"'Sheet1'!$L$16"}</definedName>
    <definedName name="tuyen" hidden="1">{"'Sheet1'!$L$16"}</definedName>
    <definedName name="tuyennhanh" localSheetId="7" hidden="1">{"'Sheet1'!$L$16"}</definedName>
    <definedName name="tuyennhanh" hidden="1">{"'Sheet1'!$L$16"}</definedName>
    <definedName name="tuynen" hidden="1">{"'Sheet1'!$L$16"}</definedName>
    <definedName name="TYT">BlankMacro1</definedName>
    <definedName name="u" localSheetId="7" hidden="1">{"'Sheet1'!$L$16"}</definedName>
    <definedName name="u" hidden="1">{"'Sheet1'!$L$16"}</definedName>
    <definedName name="ư" localSheetId="7" hidden="1">{"'Sheet1'!$L$16"}</definedName>
    <definedName name="ư" hidden="1">{"'Sheet1'!$L$16"}</definedName>
    <definedName name="unitt">BlankMacro1</definedName>
    <definedName name="ut">BlankMacro1</definedName>
    <definedName name="v" localSheetId="7" hidden="1">{"'Sheet1'!$L$16"}</definedName>
    <definedName name="v" hidden="1">{"'Sheet1'!$L$16"}</definedName>
    <definedName name="VAÄT_LIEÄU">"nhandongia"</definedName>
    <definedName name="VATM" hidden="1">{"'Sheet1'!$L$16"}</definedName>
    <definedName name="vcoto" localSheetId="7" hidden="1">{"'Sheet1'!$L$16"}</definedName>
    <definedName name="vcoto" hidden="1">{"'Sheet1'!$L$16"}</definedName>
    <definedName name="vdv" hidden="1">#N/A</definedName>
    <definedName name="VH" hidden="1">{"'Sheet1'!$L$16"}</definedName>
    <definedName name="Viet" localSheetId="7" hidden="1">{"'Sheet1'!$L$16"}</definedName>
    <definedName name="Viet" hidden="1">{"'Sheet1'!$L$16"}</definedName>
    <definedName name="vlct" hidden="1">{"'Sheet1'!$L$16"}</definedName>
    <definedName name="WIRE1">5</definedName>
    <definedName name="wr" hidden="1">{#N/A,#N/A,FALSE,"Chi tiÆt"}</definedName>
    <definedName name="wrn.aaa." localSheetId="7" hidden="1">{#N/A,#N/A,FALSE,"Sheet1";#N/A,#N/A,FALSE,"Sheet1";#N/A,#N/A,FALSE,"Sheet1"}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localSheetId="7" hidden="1">{#N/A,#N/A,FALSE,"Chi tiÆt"}</definedName>
    <definedName name="wrn.chi._.tiÆt." hidden="1">{#N/A,#N/A,FALSE,"Chi tiÆt"}</definedName>
    <definedName name="wrn.cong." localSheetId="7" hidden="1">{#N/A,#N/A,FALSE,"Sheet1"}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7" hidden="1">{#N/A,#N/A,TRUE,"BT M200 da 10x20"}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localSheetId="7" hidden="1">{"'Sheet1'!$L$16"}</definedName>
    <definedName name="xls" hidden="1">{"'Sheet1'!$L$16"}</definedName>
    <definedName name="xlttbninh" localSheetId="7" hidden="1">{"'Sheet1'!$L$16"}</definedName>
    <definedName name="xlttbninh" hidden="1">{"'Sheet1'!$L$16"}</definedName>
    <definedName name="XTKKTTC">7500</definedName>
    <definedName name="Y">BlankMacro1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25" l="1"/>
  <c r="Q44" i="25"/>
  <c r="A8" i="25"/>
  <c r="K91" i="25"/>
  <c r="H91" i="25"/>
  <c r="F91" i="25" s="1"/>
  <c r="E91" i="25"/>
  <c r="C91" i="25" s="1"/>
  <c r="K90" i="25"/>
  <c r="H90" i="25"/>
  <c r="F90" i="25" s="1"/>
  <c r="E90" i="25"/>
  <c r="C90" i="25"/>
  <c r="K89" i="25"/>
  <c r="H89" i="25"/>
  <c r="F89" i="25" s="1"/>
  <c r="E89" i="25"/>
  <c r="C89" i="25" s="1"/>
  <c r="K88" i="25"/>
  <c r="H88" i="25"/>
  <c r="F88" i="25" s="1"/>
  <c r="O88" i="25" s="1"/>
  <c r="E88" i="25"/>
  <c r="C88" i="25"/>
  <c r="K87" i="25"/>
  <c r="H87" i="25"/>
  <c r="F87" i="25" s="1"/>
  <c r="E87" i="25"/>
  <c r="C87" i="25" s="1"/>
  <c r="K86" i="25"/>
  <c r="F86" i="25"/>
  <c r="E86" i="25"/>
  <c r="C86" i="25" s="1"/>
  <c r="K85" i="25"/>
  <c r="F85" i="25"/>
  <c r="E85" i="25"/>
  <c r="C85" i="25" s="1"/>
  <c r="K84" i="25"/>
  <c r="F84" i="25"/>
  <c r="E84" i="25"/>
  <c r="C84" i="25" s="1"/>
  <c r="K83" i="25"/>
  <c r="F83" i="25"/>
  <c r="E83" i="25"/>
  <c r="C83" i="25" s="1"/>
  <c r="K82" i="25"/>
  <c r="F82" i="25"/>
  <c r="E82" i="25"/>
  <c r="C82" i="25" s="1"/>
  <c r="O82" i="25" s="1"/>
  <c r="K81" i="25"/>
  <c r="F81" i="25"/>
  <c r="E81" i="25"/>
  <c r="C81" i="25" s="1"/>
  <c r="K80" i="25"/>
  <c r="F80" i="25"/>
  <c r="E80" i="25"/>
  <c r="C80" i="25" s="1"/>
  <c r="K79" i="25"/>
  <c r="F79" i="25"/>
  <c r="E79" i="25"/>
  <c r="C79" i="25" s="1"/>
  <c r="N78" i="25"/>
  <c r="M78" i="25"/>
  <c r="L78" i="25"/>
  <c r="J78" i="25"/>
  <c r="I78" i="25"/>
  <c r="G78" i="25"/>
  <c r="D78" i="25"/>
  <c r="N77" i="25"/>
  <c r="K77" i="25"/>
  <c r="H77" i="25"/>
  <c r="F77" i="25" s="1"/>
  <c r="E77" i="25"/>
  <c r="C77" i="25" s="1"/>
  <c r="K76" i="25"/>
  <c r="H76" i="25"/>
  <c r="E76" i="25"/>
  <c r="C76" i="25" s="1"/>
  <c r="K75" i="25"/>
  <c r="H75" i="25"/>
  <c r="E75" i="25"/>
  <c r="C75" i="25" s="1"/>
  <c r="K74" i="25"/>
  <c r="H74" i="25"/>
  <c r="F74" i="25" s="1"/>
  <c r="O74" i="25" s="1"/>
  <c r="E74" i="25"/>
  <c r="C74" i="25" s="1"/>
  <c r="K73" i="25"/>
  <c r="H73" i="25"/>
  <c r="F73" i="25" s="1"/>
  <c r="E73" i="25"/>
  <c r="C73" i="25" s="1"/>
  <c r="K72" i="25"/>
  <c r="F72" i="25"/>
  <c r="E72" i="25"/>
  <c r="C72" i="25" s="1"/>
  <c r="O72" i="25" s="1"/>
  <c r="K71" i="25"/>
  <c r="F71" i="25"/>
  <c r="O71" i="25" s="1"/>
  <c r="E71" i="25"/>
  <c r="C71" i="25" s="1"/>
  <c r="K70" i="25"/>
  <c r="F70" i="25"/>
  <c r="E70" i="25"/>
  <c r="C70" i="25" s="1"/>
  <c r="K69" i="25"/>
  <c r="F69" i="25"/>
  <c r="E69" i="25"/>
  <c r="Q70" i="25" s="1"/>
  <c r="C69" i="25"/>
  <c r="K68" i="25"/>
  <c r="F68" i="25"/>
  <c r="E68" i="25"/>
  <c r="Q69" i="25" s="1"/>
  <c r="K67" i="25"/>
  <c r="F67" i="25"/>
  <c r="E67" i="25"/>
  <c r="Q68" i="25" s="1"/>
  <c r="K66" i="25"/>
  <c r="F66" i="25"/>
  <c r="E66" i="25"/>
  <c r="Q67" i="25" s="1"/>
  <c r="K65" i="25"/>
  <c r="F65" i="25"/>
  <c r="E65" i="25"/>
  <c r="Q66" i="25" s="1"/>
  <c r="C65" i="25"/>
  <c r="K64" i="25"/>
  <c r="F64" i="25"/>
  <c r="E64" i="25"/>
  <c r="Q65" i="25" s="1"/>
  <c r="K63" i="25"/>
  <c r="F63" i="25"/>
  <c r="E63" i="25"/>
  <c r="C63" i="25" s="1"/>
  <c r="K62" i="25"/>
  <c r="F62" i="25"/>
  <c r="E62" i="25"/>
  <c r="C62" i="25" s="1"/>
  <c r="O62" i="25" s="1"/>
  <c r="K61" i="25"/>
  <c r="F61" i="25"/>
  <c r="E61" i="25"/>
  <c r="Q62" i="25" s="1"/>
  <c r="K60" i="25"/>
  <c r="F60" i="25"/>
  <c r="E60" i="25"/>
  <c r="Q61" i="25" s="1"/>
  <c r="C60" i="25"/>
  <c r="K59" i="25"/>
  <c r="H59" i="25"/>
  <c r="F59" i="25" s="1"/>
  <c r="E59" i="25"/>
  <c r="C59" i="25" s="1"/>
  <c r="N58" i="25"/>
  <c r="M58" i="25"/>
  <c r="L58" i="25"/>
  <c r="L15" i="25" s="1"/>
  <c r="J58" i="25"/>
  <c r="I58" i="25"/>
  <c r="G58" i="25"/>
  <c r="D58" i="25"/>
  <c r="K57" i="25"/>
  <c r="F57" i="25"/>
  <c r="E57" i="25"/>
  <c r="Q58" i="25" s="1"/>
  <c r="K56" i="25"/>
  <c r="F56" i="25"/>
  <c r="E56" i="25"/>
  <c r="C56" i="25" s="1"/>
  <c r="K55" i="25"/>
  <c r="F55" i="25"/>
  <c r="E55" i="25"/>
  <c r="Q56" i="25" s="1"/>
  <c r="K54" i="25"/>
  <c r="F54" i="25"/>
  <c r="E54" i="25"/>
  <c r="Q55" i="25" s="1"/>
  <c r="K53" i="25"/>
  <c r="F53" i="25"/>
  <c r="E53" i="25"/>
  <c r="Q54" i="25" s="1"/>
  <c r="K52" i="25"/>
  <c r="F52" i="25"/>
  <c r="E52" i="25"/>
  <c r="Q53" i="25" s="1"/>
  <c r="K51" i="25"/>
  <c r="F51" i="25"/>
  <c r="E51" i="25"/>
  <c r="Q52" i="25" s="1"/>
  <c r="C51" i="25"/>
  <c r="O51" i="25" s="1"/>
  <c r="K50" i="25"/>
  <c r="F50" i="25"/>
  <c r="E50" i="25"/>
  <c r="C50" i="25" s="1"/>
  <c r="K49" i="25"/>
  <c r="F49" i="25"/>
  <c r="E49" i="25"/>
  <c r="Q50" i="25" s="1"/>
  <c r="K48" i="25"/>
  <c r="F48" i="25"/>
  <c r="E48" i="25"/>
  <c r="Q49" i="25" s="1"/>
  <c r="K47" i="25"/>
  <c r="F47" i="25"/>
  <c r="E47" i="25"/>
  <c r="Q48" i="25" s="1"/>
  <c r="K46" i="25"/>
  <c r="F46" i="25"/>
  <c r="F45" i="25" s="1"/>
  <c r="E46" i="25"/>
  <c r="N45" i="25"/>
  <c r="N15" i="25" s="1"/>
  <c r="M45" i="25"/>
  <c r="L45" i="25"/>
  <c r="J45" i="25"/>
  <c r="J15" i="25" s="1"/>
  <c r="I45" i="25"/>
  <c r="H45" i="25"/>
  <c r="G45" i="25"/>
  <c r="G15" i="25" s="1"/>
  <c r="D45" i="25"/>
  <c r="D15" i="25" s="1"/>
  <c r="P44" i="25"/>
  <c r="K44" i="25"/>
  <c r="F44" i="25"/>
  <c r="E44" i="25"/>
  <c r="Q45" i="25" s="1"/>
  <c r="C44" i="25"/>
  <c r="P43" i="25"/>
  <c r="K43" i="25"/>
  <c r="F43" i="25"/>
  <c r="C43" i="25"/>
  <c r="K42" i="25"/>
  <c r="F42" i="25"/>
  <c r="O42" i="25" s="1"/>
  <c r="C42" i="25"/>
  <c r="P41" i="25"/>
  <c r="N41" i="25"/>
  <c r="K41" i="25"/>
  <c r="F41" i="25"/>
  <c r="E41" i="25"/>
  <c r="Q42" i="25" s="1"/>
  <c r="P40" i="25"/>
  <c r="K40" i="25"/>
  <c r="F40" i="25"/>
  <c r="E40" i="25"/>
  <c r="Q41" i="25" s="1"/>
  <c r="C40" i="25"/>
  <c r="O40" i="25" s="1"/>
  <c r="K39" i="25"/>
  <c r="F39" i="25"/>
  <c r="E39" i="25"/>
  <c r="C39" i="25" s="1"/>
  <c r="K38" i="25"/>
  <c r="F38" i="25"/>
  <c r="E38" i="25"/>
  <c r="C38" i="25" s="1"/>
  <c r="K37" i="25"/>
  <c r="F37" i="25"/>
  <c r="E37" i="25"/>
  <c r="Q38" i="25" s="1"/>
  <c r="K36" i="25"/>
  <c r="F36" i="25"/>
  <c r="E36" i="25"/>
  <c r="Q37" i="25" s="1"/>
  <c r="K35" i="25"/>
  <c r="F35" i="25"/>
  <c r="E35" i="25"/>
  <c r="Q36" i="25" s="1"/>
  <c r="K34" i="25"/>
  <c r="H34" i="25"/>
  <c r="E34" i="25"/>
  <c r="C34" i="25" s="1"/>
  <c r="K33" i="25"/>
  <c r="F33" i="25"/>
  <c r="E33" i="25"/>
  <c r="Q34" i="25" s="1"/>
  <c r="K32" i="25"/>
  <c r="F32" i="25"/>
  <c r="E32" i="25"/>
  <c r="Q33" i="25" s="1"/>
  <c r="K31" i="25"/>
  <c r="F31" i="25"/>
  <c r="E31" i="25"/>
  <c r="Q32" i="25" s="1"/>
  <c r="C31" i="25"/>
  <c r="K30" i="25"/>
  <c r="H30" i="25"/>
  <c r="F30" i="25" s="1"/>
  <c r="E30" i="25"/>
  <c r="C30" i="25" s="1"/>
  <c r="K29" i="25"/>
  <c r="F29" i="25"/>
  <c r="E29" i="25"/>
  <c r="Q30" i="25" s="1"/>
  <c r="C29" i="25"/>
  <c r="O29" i="25" s="1"/>
  <c r="K28" i="25"/>
  <c r="H28" i="25"/>
  <c r="Q29" i="25" s="1"/>
  <c r="F28" i="25"/>
  <c r="E28" i="25"/>
  <c r="C28" i="25"/>
  <c r="P27" i="25"/>
  <c r="K27" i="25"/>
  <c r="H27" i="25"/>
  <c r="Q28" i="25" s="1"/>
  <c r="E27" i="25"/>
  <c r="C27" i="25"/>
  <c r="K26" i="25"/>
  <c r="F26" i="25"/>
  <c r="O26" i="25" s="1"/>
  <c r="E26" i="25"/>
  <c r="C26" i="25" s="1"/>
  <c r="K25" i="25"/>
  <c r="F25" i="25"/>
  <c r="E25" i="25"/>
  <c r="Q26" i="25" s="1"/>
  <c r="K24" i="25"/>
  <c r="H24" i="25"/>
  <c r="F24" i="25" s="1"/>
  <c r="E24" i="25"/>
  <c r="C24" i="25" s="1"/>
  <c r="K23" i="25"/>
  <c r="F23" i="25"/>
  <c r="E23" i="25"/>
  <c r="Q24" i="25" s="1"/>
  <c r="K22" i="25"/>
  <c r="H22" i="25"/>
  <c r="Q23" i="25" s="1"/>
  <c r="F22" i="25"/>
  <c r="E22" i="25"/>
  <c r="C22" i="25" s="1"/>
  <c r="P21" i="25"/>
  <c r="K21" i="25"/>
  <c r="F21" i="25"/>
  <c r="E21" i="25"/>
  <c r="Q22" i="25" s="1"/>
  <c r="K20" i="25"/>
  <c r="F20" i="25"/>
  <c r="E20" i="25"/>
  <c r="Q21" i="25" s="1"/>
  <c r="K19" i="25"/>
  <c r="F19" i="25"/>
  <c r="E19" i="25"/>
  <c r="Q20" i="25" s="1"/>
  <c r="K18" i="25"/>
  <c r="F18" i="25"/>
  <c r="E18" i="25"/>
  <c r="Q19" i="25" s="1"/>
  <c r="P17" i="25"/>
  <c r="K17" i="25"/>
  <c r="H17" i="25"/>
  <c r="E17" i="25"/>
  <c r="C17" i="25" s="1"/>
  <c r="K16" i="25"/>
  <c r="F16" i="25"/>
  <c r="E16" i="25"/>
  <c r="Q17" i="25" s="1"/>
  <c r="D27" i="16"/>
  <c r="D14" i="16"/>
  <c r="D41" i="24"/>
  <c r="D40" i="24"/>
  <c r="P39" i="24"/>
  <c r="O39" i="24"/>
  <c r="J39" i="24"/>
  <c r="I39" i="24"/>
  <c r="G39" i="24"/>
  <c r="F39" i="24"/>
  <c r="D39" i="24"/>
  <c r="C39" i="24"/>
  <c r="P36" i="24"/>
  <c r="O36" i="24"/>
  <c r="G36" i="24"/>
  <c r="V36" i="24" s="1"/>
  <c r="F36" i="24"/>
  <c r="D36" i="24"/>
  <c r="C36" i="24"/>
  <c r="P33" i="24"/>
  <c r="O33" i="24"/>
  <c r="G33" i="24"/>
  <c r="F33" i="24"/>
  <c r="D33" i="24"/>
  <c r="C33" i="24"/>
  <c r="P32" i="24"/>
  <c r="G32" i="24"/>
  <c r="P31" i="24"/>
  <c r="G31" i="24"/>
  <c r="P30" i="24"/>
  <c r="G30" i="24"/>
  <c r="G29" i="24"/>
  <c r="G28" i="24"/>
  <c r="J27" i="24"/>
  <c r="G27" i="24"/>
  <c r="J26" i="24"/>
  <c r="G26" i="24"/>
  <c r="P25" i="24"/>
  <c r="O25" i="24"/>
  <c r="O12" i="24" s="1"/>
  <c r="J25" i="24"/>
  <c r="I25" i="24"/>
  <c r="F25" i="24"/>
  <c r="E25" i="24"/>
  <c r="D25" i="24"/>
  <c r="C25" i="24"/>
  <c r="G24" i="24"/>
  <c r="G23" i="24" s="1"/>
  <c r="F23" i="24"/>
  <c r="U23" i="24" s="1"/>
  <c r="D23" i="24"/>
  <c r="C23" i="24"/>
  <c r="I22" i="24"/>
  <c r="G22" i="24"/>
  <c r="I21" i="24"/>
  <c r="G21" i="24"/>
  <c r="I20" i="24"/>
  <c r="I19" i="24" s="1"/>
  <c r="I12" i="24" s="1"/>
  <c r="G20" i="24"/>
  <c r="J19" i="24"/>
  <c r="J12" i="24" s="1"/>
  <c r="F19" i="24"/>
  <c r="D19" i="24"/>
  <c r="C19" i="24"/>
  <c r="I18" i="24"/>
  <c r="D18" i="24"/>
  <c r="J17" i="24"/>
  <c r="I17" i="24"/>
  <c r="G17" i="24"/>
  <c r="F17" i="24"/>
  <c r="U17" i="24" s="1"/>
  <c r="D17" i="24"/>
  <c r="D12" i="24" s="1"/>
  <c r="C17" i="24"/>
  <c r="R16" i="24"/>
  <c r="H16" i="24"/>
  <c r="F16" i="24" s="1"/>
  <c r="F15" i="24" s="1"/>
  <c r="U15" i="24" s="1"/>
  <c r="S15" i="24"/>
  <c r="S12" i="24" s="1"/>
  <c r="R15" i="24"/>
  <c r="E15" i="24"/>
  <c r="C15" i="24"/>
  <c r="R14" i="24"/>
  <c r="H14" i="24" s="1"/>
  <c r="S13" i="24"/>
  <c r="E13" i="24"/>
  <c r="C13" i="24"/>
  <c r="T12" i="24"/>
  <c r="Q12" i="24"/>
  <c r="P12" i="24"/>
  <c r="N12" i="24"/>
  <c r="M12" i="24"/>
  <c r="L12" i="24"/>
  <c r="K12" i="24"/>
  <c r="R13" i="24" l="1"/>
  <c r="R12" i="24" s="1"/>
  <c r="G25" i="24"/>
  <c r="V25" i="24" s="1"/>
  <c r="U39" i="24"/>
  <c r="O30" i="25"/>
  <c r="I15" i="25"/>
  <c r="O87" i="25"/>
  <c r="O89" i="25"/>
  <c r="O91" i="25"/>
  <c r="C12" i="24"/>
  <c r="F27" i="25"/>
  <c r="O27" i="25" s="1"/>
  <c r="C52" i="25"/>
  <c r="O52" i="25" s="1"/>
  <c r="O56" i="25"/>
  <c r="Q77" i="25"/>
  <c r="U19" i="24"/>
  <c r="U25" i="24"/>
  <c r="V39" i="24"/>
  <c r="C55" i="25"/>
  <c r="O83" i="25"/>
  <c r="Q73" i="25"/>
  <c r="E12" i="24"/>
  <c r="V17" i="24"/>
  <c r="U36" i="24"/>
  <c r="O39" i="25"/>
  <c r="C61" i="25"/>
  <c r="C68" i="25"/>
  <c r="O70" i="25"/>
  <c r="Q57" i="25"/>
  <c r="G19" i="24"/>
  <c r="G12" i="24" s="1"/>
  <c r="V12" i="24" s="1"/>
  <c r="U33" i="24"/>
  <c r="Q18" i="25"/>
  <c r="C32" i="25"/>
  <c r="O32" i="25" s="1"/>
  <c r="C64" i="25"/>
  <c r="Q76" i="25"/>
  <c r="V23" i="24"/>
  <c r="V33" i="24"/>
  <c r="Q25" i="25"/>
  <c r="O73" i="25"/>
  <c r="C18" i="25"/>
  <c r="O18" i="25" s="1"/>
  <c r="C19" i="25"/>
  <c r="O19" i="25" s="1"/>
  <c r="C20" i="25"/>
  <c r="O20" i="25" s="1"/>
  <c r="C21" i="25"/>
  <c r="O21" i="25" s="1"/>
  <c r="O28" i="25"/>
  <c r="Q35" i="25"/>
  <c r="O44" i="25"/>
  <c r="K45" i="25"/>
  <c r="Q74" i="25"/>
  <c r="Q78" i="25"/>
  <c r="E78" i="25"/>
  <c r="K78" i="25"/>
  <c r="E45" i="25"/>
  <c r="E15" i="25" s="1"/>
  <c r="O24" i="25"/>
  <c r="O77" i="25"/>
  <c r="O22" i="25"/>
  <c r="C23" i="25"/>
  <c r="O23" i="25" s="1"/>
  <c r="C36" i="25"/>
  <c r="C37" i="25"/>
  <c r="O37" i="25" s="1"/>
  <c r="O38" i="25"/>
  <c r="O43" i="25"/>
  <c r="C47" i="25"/>
  <c r="C48" i="25"/>
  <c r="O48" i="25" s="1"/>
  <c r="E58" i="25"/>
  <c r="O61" i="25"/>
  <c r="K58" i="25"/>
  <c r="O64" i="25"/>
  <c r="O65" i="25"/>
  <c r="O69" i="25"/>
  <c r="Q75" i="25"/>
  <c r="F75" i="25"/>
  <c r="O75" i="25" s="1"/>
  <c r="O90" i="25"/>
  <c r="O63" i="25"/>
  <c r="F76" i="25"/>
  <c r="O76" i="25" s="1"/>
  <c r="H78" i="25"/>
  <c r="M15" i="25"/>
  <c r="O79" i="25"/>
  <c r="O84" i="25"/>
  <c r="O81" i="25"/>
  <c r="O50" i="25"/>
  <c r="C58" i="25"/>
  <c r="C78" i="25"/>
  <c r="O85" i="25"/>
  <c r="C16" i="25"/>
  <c r="O16" i="25" s="1"/>
  <c r="F34" i="25"/>
  <c r="O34" i="25" s="1"/>
  <c r="C35" i="25"/>
  <c r="O35" i="25" s="1"/>
  <c r="C41" i="25"/>
  <c r="O41" i="25" s="1"/>
  <c r="C46" i="25"/>
  <c r="C53" i="25"/>
  <c r="O53" i="25" s="1"/>
  <c r="C54" i="25"/>
  <c r="O54" i="25" s="1"/>
  <c r="C66" i="25"/>
  <c r="O66" i="25" s="1"/>
  <c r="C67" i="25"/>
  <c r="O67" i="25" s="1"/>
  <c r="F78" i="25"/>
  <c r="Q16" i="25"/>
  <c r="Q72" i="25"/>
  <c r="Q64" i="25"/>
  <c r="Q60" i="25"/>
  <c r="Q40" i="25"/>
  <c r="O31" i="25"/>
  <c r="O36" i="25"/>
  <c r="O47" i="25"/>
  <c r="O55" i="25"/>
  <c r="H58" i="25"/>
  <c r="O60" i="25"/>
  <c r="O68" i="25"/>
  <c r="O86" i="25"/>
  <c r="Q71" i="25"/>
  <c r="Q63" i="25"/>
  <c r="Q51" i="25"/>
  <c r="Q47" i="25"/>
  <c r="Q39" i="25"/>
  <c r="Q31" i="25"/>
  <c r="Q27" i="25"/>
  <c r="P15" i="25"/>
  <c r="F17" i="25"/>
  <c r="O17" i="25" s="1"/>
  <c r="C25" i="25"/>
  <c r="O25" i="25" s="1"/>
  <c r="C33" i="25"/>
  <c r="O33" i="25" s="1"/>
  <c r="C49" i="25"/>
  <c r="O49" i="25" s="1"/>
  <c r="C57" i="25"/>
  <c r="O57" i="25" s="1"/>
  <c r="O80" i="25"/>
  <c r="O59" i="25"/>
  <c r="H13" i="24"/>
  <c r="F14" i="24"/>
  <c r="F13" i="24" s="1"/>
  <c r="V19" i="24"/>
  <c r="H15" i="24"/>
  <c r="W15" i="24" s="1"/>
  <c r="O78" i="25" l="1"/>
  <c r="H15" i="25"/>
  <c r="Q15" i="25" s="1"/>
  <c r="Q59" i="25"/>
  <c r="Q46" i="25"/>
  <c r="K15" i="25"/>
  <c r="F58" i="25"/>
  <c r="O58" i="25" s="1"/>
  <c r="C45" i="25"/>
  <c r="O46" i="25"/>
  <c r="U13" i="24"/>
  <c r="F12" i="24"/>
  <c r="U12" i="24" s="1"/>
  <c r="W13" i="24"/>
  <c r="H12" i="24"/>
  <c r="W12" i="24" s="1"/>
  <c r="C31" i="16"/>
  <c r="C29" i="16"/>
  <c r="C37" i="16"/>
  <c r="C38" i="16"/>
  <c r="C36" i="16"/>
  <c r="C35" i="16"/>
  <c r="C34" i="16"/>
  <c r="F15" i="25" l="1"/>
  <c r="C15" i="25"/>
  <c r="O15" i="25" s="1"/>
  <c r="O45" i="25"/>
  <c r="C27" i="16"/>
  <c r="C26" i="16"/>
  <c r="C23" i="16"/>
  <c r="C19" i="16"/>
  <c r="C16" i="16"/>
  <c r="C14" i="16" s="1"/>
  <c r="F33" i="15"/>
  <c r="F26" i="15"/>
  <c r="H32" i="15"/>
  <c r="G32" i="15"/>
  <c r="H26" i="15"/>
  <c r="G26" i="15"/>
  <c r="F34" i="15"/>
  <c r="D22" i="13"/>
  <c r="C13" i="16" l="1"/>
  <c r="F32" i="15"/>
  <c r="C11" i="16"/>
  <c r="C9" i="16" s="1"/>
  <c r="F19" i="15"/>
  <c r="C26" i="15"/>
  <c r="C33" i="15"/>
  <c r="E34" i="15"/>
  <c r="C34" i="15" s="1"/>
  <c r="D34" i="15"/>
  <c r="C16" i="15"/>
  <c r="C17" i="15"/>
  <c r="C18" i="15"/>
  <c r="C20" i="15"/>
  <c r="C21" i="15"/>
  <c r="C22" i="15"/>
  <c r="C23" i="15"/>
  <c r="C24" i="15"/>
  <c r="C25" i="15"/>
  <c r="C14" i="15"/>
  <c r="G13" i="15" l="1"/>
  <c r="F15" i="15"/>
  <c r="C32" i="15"/>
  <c r="C13" i="15"/>
  <c r="D26" i="13" l="1"/>
  <c r="C28" i="13" l="1"/>
  <c r="C21" i="13"/>
  <c r="C12" i="13"/>
  <c r="C11" i="13" s="1"/>
  <c r="C13" i="14"/>
  <c r="C28" i="15" l="1"/>
  <c r="C29" i="15"/>
  <c r="C67" i="15" l="1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A5" i="22"/>
  <c r="P22" i="22"/>
  <c r="K22" i="22"/>
  <c r="E22" i="22"/>
  <c r="C22" i="22" s="1"/>
  <c r="S21" i="22"/>
  <c r="P21" i="22"/>
  <c r="K21" i="22"/>
  <c r="E21" i="22"/>
  <c r="C21" i="22" s="1"/>
  <c r="S20" i="22"/>
  <c r="P20" i="22"/>
  <c r="K20" i="22"/>
  <c r="I20" i="22"/>
  <c r="E20" i="22"/>
  <c r="C20" i="22" s="1"/>
  <c r="S19" i="22"/>
  <c r="P19" i="22"/>
  <c r="K19" i="22"/>
  <c r="E19" i="22"/>
  <c r="C19" i="22" s="1"/>
  <c r="S18" i="22"/>
  <c r="P18" i="22"/>
  <c r="K18" i="22"/>
  <c r="I18" i="22"/>
  <c r="E18" i="22"/>
  <c r="Q18" i="22" s="1"/>
  <c r="S17" i="22"/>
  <c r="P17" i="22"/>
  <c r="K17" i="22"/>
  <c r="Q17" i="22" s="1"/>
  <c r="E17" i="22"/>
  <c r="C17" i="22" s="1"/>
  <c r="S16" i="22"/>
  <c r="P16" i="22"/>
  <c r="K16" i="22"/>
  <c r="I16" i="22" s="1"/>
  <c r="E16" i="22"/>
  <c r="C16" i="22" s="1"/>
  <c r="S15" i="22"/>
  <c r="P15" i="22"/>
  <c r="K15" i="22"/>
  <c r="E15" i="22"/>
  <c r="C15" i="22" s="1"/>
  <c r="S14" i="22"/>
  <c r="P14" i="22"/>
  <c r="K14" i="22"/>
  <c r="I14" i="22"/>
  <c r="E14" i="22"/>
  <c r="C14" i="22"/>
  <c r="S13" i="22"/>
  <c r="P13" i="22"/>
  <c r="K13" i="22"/>
  <c r="E13" i="22"/>
  <c r="C13" i="22" s="1"/>
  <c r="S12" i="22"/>
  <c r="P12" i="22"/>
  <c r="K12" i="22"/>
  <c r="I12" i="22"/>
  <c r="E12" i="22"/>
  <c r="N11" i="22"/>
  <c r="M11" i="22"/>
  <c r="L11" i="22"/>
  <c r="J11" i="22"/>
  <c r="H11" i="22"/>
  <c r="F11" i="22"/>
  <c r="D11" i="22"/>
  <c r="Q12" i="22" l="1"/>
  <c r="Q14" i="22"/>
  <c r="C18" i="22"/>
  <c r="Q20" i="22"/>
  <c r="P11" i="22"/>
  <c r="O20" i="22"/>
  <c r="O16" i="22"/>
  <c r="Q19" i="22"/>
  <c r="O18" i="22"/>
  <c r="Q21" i="22"/>
  <c r="O14" i="22"/>
  <c r="Q16" i="22"/>
  <c r="C12" i="22"/>
  <c r="O12" i="22" s="1"/>
  <c r="Q13" i="22"/>
  <c r="Q15" i="22"/>
  <c r="Q22" i="22"/>
  <c r="E11" i="22"/>
  <c r="I15" i="22"/>
  <c r="O15" i="22" s="1"/>
  <c r="I19" i="22"/>
  <c r="O19" i="22" s="1"/>
  <c r="I22" i="22"/>
  <c r="O22" i="22" s="1"/>
  <c r="S22" i="22"/>
  <c r="G11" i="22"/>
  <c r="S11" i="22" s="1"/>
  <c r="K11" i="22"/>
  <c r="I13" i="22"/>
  <c r="I17" i="22"/>
  <c r="O17" i="22" s="1"/>
  <c r="I21" i="22"/>
  <c r="O21" i="22" s="1"/>
  <c r="D18" i="14"/>
  <c r="C11" i="22" l="1"/>
  <c r="Q11" i="22"/>
  <c r="O13" i="22"/>
  <c r="I11" i="22"/>
  <c r="O11" i="22" s="1"/>
  <c r="D13" i="16" l="1"/>
  <c r="D11" i="16" s="1"/>
  <c r="D9" i="16" s="1"/>
  <c r="E40" i="16" l="1"/>
  <c r="F68" i="15"/>
  <c r="F69" i="15"/>
  <c r="F29" i="15"/>
  <c r="F28" i="15"/>
  <c r="G12" i="15"/>
  <c r="F25" i="15"/>
  <c r="F23" i="15"/>
  <c r="F22" i="15"/>
  <c r="F20" i="15"/>
  <c r="F18" i="15"/>
  <c r="F17" i="15"/>
  <c r="F16" i="15"/>
  <c r="F14" i="15"/>
  <c r="F21" i="15" l="1"/>
  <c r="F13" i="15" s="1"/>
  <c r="F12" i="15" s="1"/>
  <c r="C30" i="15"/>
  <c r="D10" i="13"/>
  <c r="C10" i="13"/>
  <c r="E18" i="14" l="1"/>
  <c r="E41" i="16" l="1"/>
  <c r="E34" i="16"/>
  <c r="C35" i="15" l="1"/>
  <c r="F11" i="15"/>
  <c r="F10" i="15" s="1"/>
  <c r="D13" i="15"/>
  <c r="D12" i="15" s="1"/>
  <c r="E13" i="15"/>
  <c r="E12" i="15" s="1"/>
  <c r="H13" i="15"/>
  <c r="H12" i="15" s="1"/>
  <c r="F18" i="14"/>
  <c r="C18" i="14"/>
  <c r="C20" i="13"/>
  <c r="C12" i="15" l="1"/>
  <c r="E38" i="16"/>
  <c r="E37" i="16"/>
  <c r="E36" i="16"/>
  <c r="E35" i="16"/>
  <c r="E32" i="16"/>
  <c r="E30" i="16"/>
  <c r="E29" i="16"/>
  <c r="E27" i="16"/>
  <c r="E10" i="16"/>
  <c r="E13" i="16"/>
  <c r="J29" i="15"/>
  <c r="I29" i="15"/>
  <c r="K28" i="15"/>
  <c r="J28" i="15"/>
  <c r="I28" i="15"/>
  <c r="K26" i="15"/>
  <c r="J26" i="15"/>
  <c r="I26" i="15"/>
  <c r="D32" i="15"/>
  <c r="E32" i="15"/>
  <c r="E11" i="15"/>
  <c r="G11" i="15"/>
  <c r="G10" i="15" s="1"/>
  <c r="H11" i="15"/>
  <c r="H10" i="15" s="1"/>
  <c r="C11" i="15"/>
  <c r="H41" i="14"/>
  <c r="G41" i="14"/>
  <c r="H37" i="14"/>
  <c r="G37" i="14"/>
  <c r="H36" i="14"/>
  <c r="G36" i="14"/>
  <c r="H35" i="14"/>
  <c r="G35" i="14"/>
  <c r="H33" i="14"/>
  <c r="G33" i="14"/>
  <c r="H32" i="14"/>
  <c r="G32" i="14"/>
  <c r="G31" i="14"/>
  <c r="H30" i="14"/>
  <c r="G30" i="14"/>
  <c r="H26" i="14"/>
  <c r="G26" i="14"/>
  <c r="H25" i="14"/>
  <c r="G25" i="14"/>
  <c r="H24" i="14"/>
  <c r="G24" i="14"/>
  <c r="H23" i="14"/>
  <c r="G23" i="14"/>
  <c r="H15" i="14"/>
  <c r="G15" i="14"/>
  <c r="H14" i="14"/>
  <c r="G14" i="14"/>
  <c r="F13" i="14"/>
  <c r="E13" i="14"/>
  <c r="F22" i="14"/>
  <c r="D22" i="14"/>
  <c r="E22" i="14"/>
  <c r="C22" i="14"/>
  <c r="C12" i="14" s="1"/>
  <c r="D13" i="14"/>
  <c r="D12" i="14" s="1"/>
  <c r="E22" i="13"/>
  <c r="E21" i="13"/>
  <c r="E15" i="13"/>
  <c r="E14" i="13"/>
  <c r="E11" i="13"/>
  <c r="D20" i="13"/>
  <c r="D19" i="13" s="1"/>
  <c r="C26" i="13"/>
  <c r="C19" i="13" s="1"/>
  <c r="D13" i="13"/>
  <c r="A5" i="16"/>
  <c r="A5" i="15"/>
  <c r="A5" i="14"/>
  <c r="C11" i="14" l="1"/>
  <c r="C10" i="14" s="1"/>
  <c r="F12" i="14"/>
  <c r="F11" i="14" s="1"/>
  <c r="F10" i="14" s="1"/>
  <c r="E12" i="14"/>
  <c r="H13" i="14"/>
  <c r="E11" i="16"/>
  <c r="E10" i="15"/>
  <c r="C10" i="15"/>
  <c r="I11" i="15"/>
  <c r="I12" i="15"/>
  <c r="G22" i="14"/>
  <c r="H22" i="14"/>
  <c r="G13" i="14"/>
  <c r="E19" i="13"/>
  <c r="E20" i="13"/>
  <c r="D9" i="13"/>
  <c r="D30" i="13" s="1"/>
  <c r="E10" i="13"/>
  <c r="E12" i="13"/>
  <c r="E9" i="16"/>
  <c r="C13" i="13"/>
  <c r="E13" i="13" s="1"/>
  <c r="I10" i="15" l="1"/>
  <c r="G12" i="14"/>
  <c r="J12" i="15"/>
  <c r="D11" i="15"/>
  <c r="C9" i="13"/>
  <c r="E9" i="13" s="1"/>
  <c r="D11" i="14"/>
  <c r="H12" i="14"/>
  <c r="E11" i="14"/>
  <c r="E10" i="14" s="1"/>
  <c r="D10" i="15" l="1"/>
  <c r="J10" i="15" s="1"/>
  <c r="J11" i="15"/>
  <c r="G10" i="14"/>
  <c r="G11" i="14"/>
  <c r="D10" i="14"/>
  <c r="H10" i="14" s="1"/>
  <c r="H11" i="14"/>
</calcChain>
</file>

<file path=xl/sharedStrings.xml><?xml version="1.0" encoding="utf-8"?>
<sst xmlns="http://schemas.openxmlformats.org/spreadsheetml/2006/main" count="504" uniqueCount="326">
  <si>
    <t>Đơn vị: Triệu đồng</t>
  </si>
  <si>
    <t>STT</t>
  </si>
  <si>
    <t>A</t>
  </si>
  <si>
    <t>TỔNG NGUỒN THU NGÂN SÁCH HUYỆN</t>
  </si>
  <si>
    <t>I</t>
  </si>
  <si>
    <t>Thu ngân sách huyện được hưởng theo phân cấp</t>
  </si>
  <si>
    <t>-</t>
  </si>
  <si>
    <t>Thu ngân sách huyện hưởng 100%</t>
  </si>
  <si>
    <t xml:space="preserve">Thu ngân sách huyện hưởng từ các khoản thu phân chia </t>
  </si>
  <si>
    <t>II</t>
  </si>
  <si>
    <t>Thu bổ sung cân đối</t>
  </si>
  <si>
    <t>Thu bổ sung có mục tiêu</t>
  </si>
  <si>
    <t>III</t>
  </si>
  <si>
    <t>Thu kết dư</t>
  </si>
  <si>
    <t>IV</t>
  </si>
  <si>
    <t>Thu chuyển nguồn từ năm trước chuyển sang</t>
  </si>
  <si>
    <t>B</t>
  </si>
  <si>
    <t>TỔNG CHI NGÂN SÁCH HUYỆN</t>
  </si>
  <si>
    <t> I</t>
  </si>
  <si>
    <t>Chi đầu tư phát triển</t>
  </si>
  <si>
    <t>Chi thường xuyên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</si>
  <si>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</si>
  <si>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</si>
  <si>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</si>
  <si>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</si>
  <si>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</si>
  <si>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</si>
  <si>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Tổng thu NSNN</t>
  </si>
  <si>
    <t>Thu NS huyện</t>
  </si>
  <si>
    <t>Thu nội địa</t>
  </si>
  <si>
    <t xml:space="preserve">Thu từ khu vực DNNN do Địa phương quản lý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</si>
  <si>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</si>
  <si>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</si>
  <si>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</si>
  <si>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</si>
  <si>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>Thu phí, lệ phí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</si>
  <si>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</si>
  <si>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</si>
  <si>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</si>
  <si>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</si>
  <si>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Thu tiền cấp quyền khai thác khoáng sản</t>
  </si>
  <si>
    <t>Thu khác ngân sách</t>
  </si>
  <si>
    <t>Nội dung</t>
  </si>
  <si>
    <t>Ngân sách huyện</t>
  </si>
  <si>
    <t>Ngân sách cấp huyện</t>
  </si>
  <si>
    <t>CHI CÂN ĐỐI NGÂN SÁCH HUYỆN</t>
  </si>
  <si>
    <t>Chi đầu tư cho các dự án</t>
  </si>
  <si>
    <t>Chi giáo dục - đào tạo và dạy nghề</t>
  </si>
  <si>
    <t>Chi khoa học và công nghệ</t>
  </si>
  <si>
    <t>Chi đầu tư phát triển khác</t>
  </si>
  <si>
    <t>Trong đó:</t>
  </si>
  <si>
    <t>CHI CÁC CHƯƠNG TRÌNH MỤC TIÊU</t>
  </si>
  <si>
    <t>C</t>
  </si>
  <si>
    <t>CHI CHUYỂN NGUỒN SANG NĂM SAU</t>
  </si>
  <si>
    <t>Ngân sách xã</t>
  </si>
  <si>
    <t>CHI NGÂN SÁCH CẤP HUYỆN THEO LĨNH VỰC</t>
  </si>
  <si>
    <t>1.1</t>
  </si>
  <si>
    <t>1.2</t>
  </si>
  <si>
    <t>1.3</t>
  </si>
  <si>
    <t>Chi y tế, dân số và gia đình</t>
  </si>
  <si>
    <t>1.4</t>
  </si>
  <si>
    <t>Chi văn hóa thông tin</t>
  </si>
  <si>
    <t>1.5</t>
  </si>
  <si>
    <t>Chi phát thanh, truyền hình, thông tấn</t>
  </si>
  <si>
    <t>1.6</t>
  </si>
  <si>
    <t>Chi thể dục thể thao</t>
  </si>
  <si>
    <t>1.7</t>
  </si>
  <si>
    <t>Chi bảo vệ môi trường</t>
  </si>
  <si>
    <t>1.8</t>
  </si>
  <si>
    <t>Chi các hoạt động kinh tế</t>
  </si>
  <si>
    <t>1.9</t>
  </si>
  <si>
    <t>1.10</t>
  </si>
  <si>
    <t>Chi bảo đảm xã hội</t>
  </si>
  <si>
    <t>Chi hoạt động của cơ quan quản lý nhà nước, đảng, đoàn thể</t>
  </si>
  <si>
    <t xml:space="preserve">Dự phòng ngân sách </t>
  </si>
  <si>
    <t xml:space="preserve">Chi tạo nguồn, điều chỉnh tiền lương </t>
  </si>
  <si>
    <t>TỔNG SỐ</t>
  </si>
  <si>
    <t>Chi đầu tư phát triển (Không kể CTMTQG)</t>
  </si>
  <si>
    <t>Chi thường xuyên (Không kể CTMTQG)</t>
  </si>
  <si>
    <t>Tổng số</t>
  </si>
  <si>
    <t xml:space="preserve">Chi đầu tư phát triển </t>
  </si>
  <si>
    <t>Chi chuyển nguồn sang ngân sách năm sau</t>
  </si>
  <si>
    <t>Tên đơn vị</t>
  </si>
  <si>
    <t>1=2+3</t>
  </si>
  <si>
    <t>Quyết toán</t>
  </si>
  <si>
    <t xml:space="preserve">Dự toán </t>
  </si>
  <si>
    <t>So sánh (%)</t>
  </si>
  <si>
    <t>3=2/1</t>
  </si>
  <si>
    <t>Thu bổ sung từ ngân sách cấp tỉnh</t>
  </si>
  <si>
    <t>Chi cân đối ngân sách huyện</t>
  </si>
  <si>
    <t> 1</t>
  </si>
  <si>
    <t>Biểu số 96/CK-NSNN</t>
  </si>
  <si>
    <t>UỶ BAN NHÂN DÂN</t>
  </si>
  <si>
    <t xml:space="preserve">  HUYỆN ĐĂK HÀ</t>
  </si>
  <si>
    <t>Dự toán</t>
  </si>
  <si>
    <t>5=3/1</t>
  </si>
  <si>
    <t>6=4/2</t>
  </si>
  <si>
    <t>TỔNG NGUỒN THU NSNN</t>
  </si>
  <si>
    <t>TỔNG THU CÂN ĐỐI NSNN</t>
  </si>
  <si>
    <t xml:space="preserve">Thu từ khu vực DNNN do Trung ương quản lý </t>
  </si>
  <si>
    <t>THU KẾT DƯ NĂM TRƯỚC</t>
  </si>
  <si>
    <t>THU CHUYỂN NGUỒN TỪ NĂM TRƯỚC CHUYỂN SANG</t>
  </si>
  <si>
    <t>Biểu số 97/CK-NSNN</t>
  </si>
  <si>
    <t>Bao gồm</t>
  </si>
  <si>
    <t xml:space="preserve">Ngân sách xã </t>
  </si>
  <si>
    <t>4=5+6</t>
  </si>
  <si>
    <t>7=4/1</t>
  </si>
  <si>
    <t>8=5/2</t>
  </si>
  <si>
    <t>9=6/3</t>
  </si>
  <si>
    <t>CHI BỔ SUNG CÂN ĐỐI CHO NGÂN SÁCH XÃ</t>
  </si>
  <si>
    <t>Biểu số 98/CK-NSNN</t>
  </si>
  <si>
    <t>Biểu số 99/CK-NSNN</t>
  </si>
  <si>
    <t>Biểu số 100/CK-NSNN</t>
  </si>
  <si>
    <t>Thu từ ngân sách cấp dưới nộp lên</t>
  </si>
  <si>
    <t>Chi nộp trả ngân sách cấp trên</t>
  </si>
  <si>
    <t>KẾT DƯ NĂM NGÂN SÁCH</t>
  </si>
  <si>
    <t>Thuế giá trị gia tăng</t>
  </si>
  <si>
    <t>Thuế thu nhập doanh nghiệp</t>
  </si>
  <si>
    <t>Thuế tài nguyên</t>
  </si>
  <si>
    <t>Thuế môn bài</t>
  </si>
  <si>
    <t>Thu hồi vốn và thu khác</t>
  </si>
  <si>
    <t xml:space="preserve">Thuế giá trị gia tăng </t>
  </si>
  <si>
    <t>Thuế tiêu thụ đặc biệt</t>
  </si>
  <si>
    <t>Thu khác ngoài quốc doanh</t>
  </si>
  <si>
    <t>Thu tiền phạt, tịch thu</t>
  </si>
  <si>
    <t>Thu hồi các khoản chi năm trước</t>
  </si>
  <si>
    <t>Thu ngân sách cấp dưới nộp lên cấp trên</t>
  </si>
  <si>
    <t>D</t>
  </si>
  <si>
    <t>CHI NỘP NGÂN SÁCH CẤP TRÊN</t>
  </si>
  <si>
    <t>UBND xã Đăk La</t>
  </si>
  <si>
    <t>UBND xã Đăk Hring</t>
  </si>
  <si>
    <t>UBND xã Hà Mòn</t>
  </si>
  <si>
    <t>UBND xã Đăk Ui</t>
  </si>
  <si>
    <t>UBND xã Đăk Mar</t>
  </si>
  <si>
    <t>UBND xã Ngọk Réo</t>
  </si>
  <si>
    <t>UBND xã Đăk Long</t>
  </si>
  <si>
    <t>UBND xã Đăk Ngọk</t>
  </si>
  <si>
    <t xml:space="preserve">Hội đồng nhân dân huyện  </t>
  </si>
  <si>
    <t>Văn phòng UBND huyện</t>
  </si>
  <si>
    <t>Phòng Nội vụ</t>
  </si>
  <si>
    <t>Phòng Tài nguyên-Môi trường</t>
  </si>
  <si>
    <t>Phòng Tư pháp</t>
  </si>
  <si>
    <t>Phòng Kinh tế &amp; Hạ tầng</t>
  </si>
  <si>
    <t>Thanh tra Nhà nước</t>
  </si>
  <si>
    <t>Phòng Tài chính - Kế hoạch</t>
  </si>
  <si>
    <t>Phòng Nông nghiệp và PTNT</t>
  </si>
  <si>
    <t>Phòng Y tế</t>
  </si>
  <si>
    <t xml:space="preserve">Phòng Dân tộc </t>
  </si>
  <si>
    <t>Uỷ ban Mặt trận TQVN huyện</t>
  </si>
  <si>
    <t>Hội nông dân</t>
  </si>
  <si>
    <t xml:space="preserve">Hội phụ nữ </t>
  </si>
  <si>
    <t>Huyện đoàn</t>
  </si>
  <si>
    <t>Hội Cựu chiến binh</t>
  </si>
  <si>
    <t>Trung tâm GDNN-GDTX</t>
  </si>
  <si>
    <t>Hội Chữ thập đỏ</t>
  </si>
  <si>
    <t>Ban QL dự án đầu tư</t>
  </si>
  <si>
    <t>Ban chỉ huy quân sự</t>
  </si>
  <si>
    <t>Công an huyện</t>
  </si>
  <si>
    <t>Văn phòng huyện ủy</t>
  </si>
  <si>
    <t>Bậc Mầm non</t>
  </si>
  <si>
    <t>Bậc Tiểu học</t>
  </si>
  <si>
    <t>Bậc Trung học cơ sở</t>
  </si>
  <si>
    <t>TT</t>
  </si>
  <si>
    <t>Thuế Tài nguyên</t>
  </si>
  <si>
    <t>Chi đầu tư phát triển cho chương trình, dự án theo lĩnh vực</t>
  </si>
  <si>
    <t>Chi Giáo dục - đào tạo và dạy nghề</t>
  </si>
  <si>
    <t>Chi cho văn hóa thông tin</t>
  </si>
  <si>
    <t>Chi hoạt động của các cơ quan quản lý nhà nước, đảng, đoàn thể</t>
  </si>
  <si>
    <t>Chi đảm bảo xã hội</t>
  </si>
  <si>
    <t>Chi đầu tư và hỗ trợ vốn cho các doanh nghiệp hoạt động công</t>
  </si>
  <si>
    <t>Chi an ninh - quốc phòng</t>
  </si>
  <si>
    <t>Chi khác ngân sách</t>
  </si>
  <si>
    <t>Chi sự nghiệp y tế</t>
  </si>
  <si>
    <t>Chi nộp ngân sách cấp trên</t>
  </si>
  <si>
    <t>ỦY BAN NHÂN DÂN</t>
  </si>
  <si>
    <t xml:space="preserve">   HUYỆN ĐĂK HÀ</t>
  </si>
  <si>
    <t>So sánh %</t>
  </si>
  <si>
    <t xml:space="preserve">Chi trả nợ lãi do chính quyền địa phương vay </t>
  </si>
  <si>
    <t>Chi bổ sung quỹ dự trữ tài chính</t>
  </si>
  <si>
    <t>Chi CT MTQG</t>
  </si>
  <si>
    <t>13=4/1</t>
  </si>
  <si>
    <t>14=5/2</t>
  </si>
  <si>
    <t>Chi dự phòng ngân sách</t>
  </si>
  <si>
    <t>Chi tạo nguồn điều chỉnh tiền lương</t>
  </si>
  <si>
    <t>Chi bổ sung có mục tiêu cho ngân sách cấp dưới</t>
  </si>
  <si>
    <t>V</t>
  </si>
  <si>
    <t>Chi chuyển nguồn ngân sách sang năm sau</t>
  </si>
  <si>
    <t>HUYỆN ĐĂK HÀ</t>
  </si>
  <si>
    <t>Biểu số 101/CK-NSNN</t>
  </si>
  <si>
    <t>Bổ sung cân đối</t>
  </si>
  <si>
    <t>Bổ sung có mục tiêu</t>
  </si>
  <si>
    <t>Bổ sung vốn đầu tư để thực hiện các chương trình mục tiêu, nhiệm vụ</t>
  </si>
  <si>
    <t>Bổ sung vốn sự nghiệp để thực hiện các chế độ, chính sách và nhiệm vụ theo quy định</t>
  </si>
  <si>
    <t>Bổ sung thực hiện các chương trình mục tiêu quốc gia</t>
  </si>
  <si>
    <t>13=7/1</t>
  </si>
  <si>
    <t>14=8/2</t>
  </si>
  <si>
    <t>15=9/3</t>
  </si>
  <si>
    <t>16=10/4</t>
  </si>
  <si>
    <t>17=11/5</t>
  </si>
  <si>
    <t>18=12/6</t>
  </si>
  <si>
    <t>UBND thị trấn ĐăkHà</t>
  </si>
  <si>
    <t>UBND xã Ngọk Wang</t>
  </si>
  <si>
    <t>UBND xã  Đăk Pxi</t>
  </si>
  <si>
    <t>Danh mục dự án</t>
  </si>
  <si>
    <t xml:space="preserve">Phòng Văn hóa - Thông tin </t>
  </si>
  <si>
    <t xml:space="preserve">Phòng Lao động-TBXH </t>
  </si>
  <si>
    <t xml:space="preserve">Phòng Giáo dục - Đào tạo </t>
  </si>
  <si>
    <t>Trung tâm VHTTDL&amp;TT</t>
  </si>
  <si>
    <t>Trung tâm dịch vụ nông nghiệp</t>
  </si>
  <si>
    <t>Trung tâm Môi trường và DVĐT</t>
  </si>
  <si>
    <t>Các khoản thu tại xã</t>
  </si>
  <si>
    <t>Các cơ quan, tổ chức</t>
  </si>
  <si>
    <t>Trung tâm Chính trị</t>
  </si>
  <si>
    <t>QUYẾT TOÁN NGUỒN THU NGÂN SÁCH NHÀ NƯỚC NĂM 2021</t>
  </si>
  <si>
    <t>QUYẾT TOÁN CHI NGÂN SÁCH HUYỆN VÀ CHI NGÂN SÁCH XÃ THEO CƠ CẤU CHI NĂM 2021</t>
  </si>
  <si>
    <t>QUYẾT TOÁN CHI NGÂN SÁCH CẤP HUYỆN THEO TỪNG LĨNH VỰC NĂM 2021</t>
  </si>
  <si>
    <t>QUYẾT TOÁN CHI NGÂN SÁCH CẤP HUYỆN CHO TỪNG CƠ QUAN, TỔ CHỨC THEO LĨNH VỰC NĂM 2021</t>
  </si>
  <si>
    <t>QUYẾT TOÁN CHI BỔ SUNG TỪ NGÂN SÁCH CẤP HUYỆN CHO NGÂN SÁCH TỪNG XÃ NĂM 2021</t>
  </si>
  <si>
    <t>QUYẾT TOÁN CHI CHƯƠNG TRÌNH MỤC TIÊU QUỐC GIA NGÂN SÁCH HUYỆN VÀ NGÂN SÁCH XÃ NĂM 2021</t>
  </si>
  <si>
    <t>Chi sự nghiệp khác</t>
  </si>
  <si>
    <t>Kinh phí thực hiện CSTL và chi thường xuyên khác</t>
  </si>
  <si>
    <t>ĐVT: Triệu đồng</t>
  </si>
  <si>
    <t>DỰ TOÁN NĂM 2021</t>
  </si>
  <si>
    <t>QUYẾT TOÁN VỐN NĂM 2021</t>
  </si>
  <si>
    <t>SO SÁNH (%)</t>
  </si>
  <si>
    <t>GHI CHÚ</t>
  </si>
  <si>
    <t>Chương trình MTQG Giảm nghèo bền vững</t>
  </si>
  <si>
    <t>Chương trình MTQG Xây dựng nông thôn mới</t>
  </si>
  <si>
    <t>Trong đó</t>
  </si>
  <si>
    <t>Đầu tư phát triển</t>
  </si>
  <si>
    <t>Kinh phí sự nghiệp</t>
  </si>
  <si>
    <t>Vốn trong nước</t>
  </si>
  <si>
    <t>Vốn ngoài nước</t>
  </si>
  <si>
    <t>TỔNG CỘNG (NGÂN SÁCH CẤP HUYỆN)</t>
  </si>
  <si>
    <t>Phòng Nông nghiệp và PTNT huyện</t>
  </si>
  <si>
    <t xml:space="preserve"> -</t>
  </si>
  <si>
    <t>Đào tạo nghề nông nghiệp cho lao động nông thôn</t>
  </si>
  <si>
    <t>Phòng Lao động -TB&amp;XH huyện</t>
  </si>
  <si>
    <t>Đào tạo nghề phi nông nghiệp cho lao động nông thôn</t>
  </si>
  <si>
    <t>Xã Đăk Hring</t>
  </si>
  <si>
    <t>Sân bê tông, giếng nước nhà rông thôn 13 (Đăk Kang Yôp), xã ĐăkHring</t>
  </si>
  <si>
    <t>Ngọk Wang</t>
  </si>
  <si>
    <t>4.1</t>
  </si>
  <si>
    <t>Đường đi khu sản xuất thôn Kon Chôn (thôn 1), xã Ngọc Wang- đoạn cầu bê tông hướng đi khu thao trường bắn huyện</t>
  </si>
  <si>
    <t>4.2</t>
  </si>
  <si>
    <t>Công trình: Đường đi khu sản xuất thôn Kon Gu II (thôn 6) xã Ngọc Wang; đoạn từ ngã ba đường liên thôn đến giáp nghĩa địa thôn Kon Gu II.  Hạng mục: Đường bê tông xi măng</t>
  </si>
  <si>
    <t>4.3</t>
  </si>
  <si>
    <t>Đường điện hạ thế thôn 3 (Kon Jơri) xã Ngọk Wang;</t>
  </si>
  <si>
    <t>Xã Đăk Ngọk</t>
  </si>
  <si>
    <t>Lớp Mẫu giáo điểm thôn Đăk Kđem, xã Đăk Ngọk. Hạng mục: Cổng, Tường rào và các hạng mục khác</t>
  </si>
  <si>
    <t>Đăk Long</t>
  </si>
  <si>
    <t>5.1</t>
  </si>
  <si>
    <t>Sửa chữa, cải tạo đập Đăk Ia, xã Đăk Long</t>
  </si>
  <si>
    <t>5.2</t>
  </si>
  <si>
    <t>Nhà văn hóa cộng đồng xã Đăk Long; Hạng mục: Nhà văn hóa</t>
  </si>
  <si>
    <t>5.3</t>
  </si>
  <si>
    <t>Đập thủy lợi Đăk Rem, Thôn Kon Đao Yôp  xã Đăk Long</t>
  </si>
  <si>
    <t>5.4</t>
  </si>
  <si>
    <t>Nước sinh hoạt tập trung thôn Kon Đao Yôp xã Đăk Long</t>
  </si>
  <si>
    <t>5.5</t>
  </si>
  <si>
    <t>Cấp nước sinh hoạt tập trung thôn Kon Teo, xã Đăk Long</t>
  </si>
  <si>
    <t>5.6</t>
  </si>
  <si>
    <t>Điểm trường thôn Đăk Kơ Ne xã Đăk Long; Hạng mục: Cổng tường rào, sân bê tông, sửa chữa nhà lớp học và các hạng mục phụ trợ khác</t>
  </si>
  <si>
    <t>5.7</t>
  </si>
  <si>
    <t>Sân thể thao xã Đăk Long, huyện Đăk Hà; Hạng mục: San ủi mặt bằng, cổng tường rào, khán dài và các hạng mục phụ trợ khác</t>
  </si>
  <si>
    <t>Đăk La</t>
  </si>
  <si>
    <t>6.1</t>
  </si>
  <si>
    <t>Đường giao thông nông thôn, thôn 8 xã Đăk La (Nối dài đoạn từ nhà A Đủ đến đường đi khu sản xuất)</t>
  </si>
  <si>
    <t>6.2</t>
  </si>
  <si>
    <t>Khu thể thao xã Đăk La; Hạng mục: San ủi mặt bằng, cổng, tường rào, khán đài và đường dây điện hạ thế 0,4KV</t>
  </si>
  <si>
    <t>Đăk Pxi</t>
  </si>
  <si>
    <t>7.1</t>
  </si>
  <si>
    <t>Đường tránh lũ thôn Ling La đi thôn Kon Đú, xã ĐăkPxi. Hạng mục: Đường bê tông xi măng và các hạng mục khác</t>
  </si>
  <si>
    <t>7.2</t>
  </si>
  <si>
    <t>Cấp nước sinh hoạt chảy thôn Đăk Krong và thông Long Đuân xã Đăk Pxi, huyện Đăk Hà</t>
  </si>
  <si>
    <t xml:space="preserve">Chưa phân bổ chi tiết </t>
  </si>
  <si>
    <t>8.1</t>
  </si>
  <si>
    <t>Chưa phân bổ chi tiết (GNBV)</t>
  </si>
  <si>
    <t>8.2</t>
  </si>
  <si>
    <t>Chưa phân bổ chi tiết (NTM)</t>
  </si>
  <si>
    <t>Biểu số 54</t>
  </si>
  <si>
    <t xml:space="preserve"> 31/2017/NĐCP</t>
  </si>
  <si>
    <t>MN Sơn Ca</t>
  </si>
  <si>
    <t>MG xã Đăk Ngọk</t>
  </si>
  <si>
    <t>MG xã Ngọk Réo</t>
  </si>
  <si>
    <t>MN xã Đăk Mar</t>
  </si>
  <si>
    <t>MG xã Đăk Long</t>
  </si>
  <si>
    <t>MG xã Đăk Ui</t>
  </si>
  <si>
    <t>MG Hà Mòn</t>
  </si>
  <si>
    <t>MG xã Ngọk Wang</t>
  </si>
  <si>
    <t>MG xã Đăk La</t>
  </si>
  <si>
    <t>MG xã Đăk Pxy</t>
  </si>
  <si>
    <t>MN Hoa Hồng</t>
  </si>
  <si>
    <t>MG Đăk Hring</t>
  </si>
  <si>
    <t>TH  Bế Văn Đàn</t>
  </si>
  <si>
    <t>TH Lê Văn Tám</t>
  </si>
  <si>
    <t>TH Lê Đình Chinh</t>
  </si>
  <si>
    <t>TH Nguyễn Văn Trỗi</t>
  </si>
  <si>
    <t>TH Kim Đồng</t>
  </si>
  <si>
    <t>TH Lê Quý Đôn</t>
  </si>
  <si>
    <t>TH Nguyễn Bá Ngọc</t>
  </si>
  <si>
    <t>TH Tô Vĩnh Diện</t>
  </si>
  <si>
    <t>TH Nguyễn Văn Cừ</t>
  </si>
  <si>
    <t>TH Kơ Pa Kơ Lơng</t>
  </si>
  <si>
    <t>TH Lê Hồng Phong</t>
  </si>
  <si>
    <t>TH Trần Quốc Toản</t>
  </si>
  <si>
    <t>TH Võ Thị Sáu</t>
  </si>
  <si>
    <t>TH Phan Đình Giót</t>
  </si>
  <si>
    <t>TH và THCS xã NgọkWang</t>
  </si>
  <si>
    <t>TH và THCS xã Đăk Ngọk</t>
  </si>
  <si>
    <t>TH và THCS xã Đăk Ui</t>
  </si>
  <si>
    <t>TH và THCS xã Hà Mòn</t>
  </si>
  <si>
    <t>TH và THCS xã Đăk Long</t>
  </si>
  <si>
    <t>THCS xã Ngọk Réo</t>
  </si>
  <si>
    <t>THCS xã Đăk Pxi</t>
  </si>
  <si>
    <t>THCS xã A Ninh</t>
  </si>
  <si>
    <t>THCS xã Đăk Hring</t>
  </si>
  <si>
    <t>THCS xã Đăk Mar</t>
  </si>
  <si>
    <t>THCS xã Đăk La</t>
  </si>
  <si>
    <t>THCS Nguyễn Tất Thành</t>
  </si>
  <si>
    <t>THCS Chu Văn An</t>
  </si>
  <si>
    <t>15=16/3</t>
  </si>
  <si>
    <t>CÂN ĐỐI NGÂN SÁCH HUYỆN NĂM 2021</t>
  </si>
  <si>
    <t>Biểu số 102/CK-NSNN</t>
  </si>
  <si>
    <t>(Kèm theo Quyết định số        /QĐ-UBND ngày      tháng 7 năm 2022 của UBND huyện Đăk Hà)</t>
  </si>
  <si>
    <t>(Kèm theo Quyết định số        /QĐ-UBND ngày      tháng 7  năm 2022 của UBND huyện Đăk 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</si>
</sst>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#,##0;[Red]\-#,##0;&quot;&quot;;_-@"/>
    <numFmt numFmtId="170" formatCode="_(* #,##0.000000_);_(* \(#,##0.000000\);_(* &quot;-&quot;??_);_(@_)"/>
    <numFmt numFmtId="171" formatCode="#,##0.000000"/>
    <numFmt numFmtId="172" formatCode="#,##0.000"/>
    <numFmt numFmtId="173" formatCode="#,##0.0"/>
    <numFmt numFmtId="174" formatCode="0.000"/>
  </numFmts>
  <fonts count="41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3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sz val="13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.VnArial Narrow"/>
      <family val="2"/>
    </font>
    <font>
      <sz val="11"/>
      <name val="Times New Roman"/>
      <family val="1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3"/>
      <color indexed="10"/>
      <name val="Times New Roman"/>
      <family val="1"/>
    </font>
    <font>
      <b/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3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/>
    <xf numFmtId="0" fontId="39" fillId="0" borderId="0"/>
  </cellStyleXfs>
  <cellXfs count="25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164" fontId="4" fillId="0" borderId="3" xfId="1" applyFont="1" applyBorder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166" fontId="4" fillId="0" borderId="3" xfId="1" applyNumberFormat="1" applyFont="1" applyBorder="1" applyAlignment="1">
      <alignment vertical="center" wrapText="1"/>
    </xf>
    <xf numFmtId="166" fontId="5" fillId="0" borderId="1" xfId="1" applyNumberFormat="1" applyFont="1" applyBorder="1" applyAlignment="1">
      <alignment vertical="center" wrapText="1"/>
    </xf>
    <xf numFmtId="166" fontId="4" fillId="0" borderId="1" xfId="1" applyNumberFormat="1" applyFont="1" applyBorder="1" applyAlignment="1">
      <alignment vertical="center" wrapText="1"/>
    </xf>
    <xf numFmtId="166" fontId="2" fillId="0" borderId="0" xfId="0" applyNumberFormat="1" applyFont="1"/>
    <xf numFmtId="164" fontId="2" fillId="0" borderId="0" xfId="0" applyNumberFormat="1" applyFont="1"/>
    <xf numFmtId="167" fontId="2" fillId="0" borderId="0" xfId="0" applyNumberFormat="1" applyFont="1"/>
    <xf numFmtId="164" fontId="4" fillId="0" borderId="3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6" fontId="5" fillId="0" borderId="6" xfId="1" applyNumberFormat="1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8" fontId="2" fillId="0" borderId="0" xfId="0" applyNumberFormat="1" applyFont="1"/>
    <xf numFmtId="165" fontId="2" fillId="0" borderId="0" xfId="1" applyNumberFormat="1" applyFont="1"/>
    <xf numFmtId="164" fontId="4" fillId="0" borderId="2" xfId="1" applyNumberFormat="1" applyFont="1" applyBorder="1" applyAlignment="1">
      <alignment horizontal="center" vertical="center" wrapText="1"/>
    </xf>
    <xf numFmtId="164" fontId="5" fillId="0" borderId="3" xfId="1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4" fillId="0" borderId="1" xfId="1" applyFont="1" applyBorder="1" applyAlignment="1">
      <alignment vertical="center" wrapText="1"/>
    </xf>
    <xf numFmtId="166" fontId="4" fillId="0" borderId="6" xfId="1" applyNumberFormat="1" applyFont="1" applyBorder="1" applyAlignment="1">
      <alignment vertical="center" wrapText="1"/>
    </xf>
    <xf numFmtId="164" fontId="4" fillId="0" borderId="6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1" applyFont="1" applyBorder="1"/>
    <xf numFmtId="2" fontId="5" fillId="0" borderId="3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right" vertical="center"/>
    </xf>
    <xf numFmtId="0" fontId="15" fillId="2" borderId="8" xfId="0" applyNumberFormat="1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vertical="center"/>
    </xf>
    <xf numFmtId="0" fontId="6" fillId="2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29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6" fontId="10" fillId="0" borderId="7" xfId="1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6" fillId="0" borderId="0" xfId="0" applyFont="1"/>
    <xf numFmtId="164" fontId="12" fillId="0" borderId="8" xfId="0" applyNumberFormat="1" applyFont="1" applyBorder="1" applyAlignment="1">
      <alignment vertical="center" wrapText="1"/>
    </xf>
    <xf numFmtId="164" fontId="12" fillId="0" borderId="8" xfId="1" applyFont="1" applyFill="1" applyBorder="1" applyAlignment="1">
      <alignment horizontal="right" vertical="center" wrapText="1"/>
    </xf>
    <xf numFmtId="166" fontId="12" fillId="0" borderId="8" xfId="1" applyNumberFormat="1" applyFont="1" applyBorder="1" applyAlignment="1">
      <alignment horizontal="center" vertical="center" wrapText="1"/>
    </xf>
    <xf numFmtId="166" fontId="12" fillId="0" borderId="8" xfId="1" applyNumberFormat="1" applyFont="1" applyFill="1" applyBorder="1" applyAlignment="1">
      <alignment horizontal="right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166" fontId="16" fillId="0" borderId="8" xfId="1" applyNumberFormat="1" applyFont="1" applyBorder="1"/>
    <xf numFmtId="164" fontId="12" fillId="0" borderId="9" xfId="0" applyNumberFormat="1" applyFont="1" applyBorder="1" applyAlignment="1">
      <alignment vertical="center" wrapText="1"/>
    </xf>
    <xf numFmtId="164" fontId="12" fillId="0" borderId="9" xfId="1" applyFont="1" applyFill="1" applyBorder="1" applyAlignment="1">
      <alignment horizontal="right" vertical="center" wrapText="1"/>
    </xf>
    <xf numFmtId="166" fontId="12" fillId="0" borderId="9" xfId="1" applyNumberFormat="1" applyFont="1" applyBorder="1" applyAlignment="1">
      <alignment horizontal="center" vertical="center" wrapText="1"/>
    </xf>
    <xf numFmtId="166" fontId="16" fillId="0" borderId="9" xfId="1" applyNumberFormat="1" applyFont="1" applyBorder="1"/>
    <xf numFmtId="166" fontId="12" fillId="0" borderId="9" xfId="1" applyNumberFormat="1" applyFont="1" applyFill="1" applyBorder="1" applyAlignment="1">
      <alignment horizontal="right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170" fontId="31" fillId="0" borderId="0" xfId="0" applyNumberFormat="1" applyFont="1"/>
    <xf numFmtId="164" fontId="15" fillId="0" borderId="0" xfId="0" applyNumberFormat="1" applyFont="1"/>
    <xf numFmtId="164" fontId="5" fillId="2" borderId="8" xfId="1" applyNumberFormat="1" applyFont="1" applyFill="1" applyBorder="1" applyAlignment="1">
      <alignment vertical="center"/>
    </xf>
    <xf numFmtId="164" fontId="8" fillId="2" borderId="8" xfId="1" applyNumberFormat="1" applyFont="1" applyFill="1" applyBorder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5" fontId="10" fillId="0" borderId="7" xfId="1" applyNumberFormat="1" applyFont="1" applyBorder="1" applyAlignment="1">
      <alignment horizontal="center" vertical="center" wrapText="1"/>
    </xf>
    <xf numFmtId="169" fontId="12" fillId="0" borderId="8" xfId="2" applyNumberFormat="1" applyFont="1" applyBorder="1" applyAlignment="1">
      <alignment horizontal="center" vertical="center" wrapText="1"/>
    </xf>
    <xf numFmtId="169" fontId="12" fillId="0" borderId="8" xfId="2" applyNumberFormat="1" applyFont="1" applyBorder="1" applyAlignment="1">
      <alignment horizontal="left" vertical="center" wrapText="1"/>
    </xf>
    <xf numFmtId="164" fontId="12" fillId="0" borderId="8" xfId="1" applyFont="1" applyBorder="1" applyAlignment="1">
      <alignment horizontal="center" vertical="center" wrapText="1"/>
    </xf>
    <xf numFmtId="164" fontId="16" fillId="0" borderId="8" xfId="1" applyFont="1" applyBorder="1"/>
    <xf numFmtId="169" fontId="12" fillId="0" borderId="9" xfId="2" applyNumberFormat="1" applyFont="1" applyBorder="1" applyAlignment="1">
      <alignment horizontal="center" vertical="center" wrapText="1"/>
    </xf>
    <xf numFmtId="169" fontId="12" fillId="0" borderId="9" xfId="2" applyNumberFormat="1" applyFont="1" applyBorder="1" applyAlignment="1">
      <alignment horizontal="left" vertical="center" wrapText="1"/>
    </xf>
    <xf numFmtId="164" fontId="16" fillId="0" borderId="9" xfId="1" applyFont="1" applyBorder="1"/>
    <xf numFmtId="164" fontId="12" fillId="0" borderId="9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164" fontId="6" fillId="0" borderId="12" xfId="1" applyFont="1" applyBorder="1"/>
    <xf numFmtId="0" fontId="32" fillId="2" borderId="1" xfId="0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vertical="center"/>
    </xf>
    <xf numFmtId="3" fontId="22" fillId="2" borderId="1" xfId="1" applyNumberFormat="1" applyFont="1" applyFill="1" applyBorder="1" applyAlignment="1">
      <alignment vertical="center"/>
    </xf>
    <xf numFmtId="166" fontId="4" fillId="0" borderId="2" xfId="1" applyNumberFormat="1" applyFont="1" applyBorder="1" applyAlignment="1">
      <alignment vertical="center" wrapText="1"/>
    </xf>
    <xf numFmtId="164" fontId="6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vertical="center" wrapText="1"/>
    </xf>
    <xf numFmtId="164" fontId="5" fillId="0" borderId="2" xfId="1" applyFont="1" applyBorder="1" applyAlignment="1">
      <alignment vertical="center" wrapText="1"/>
    </xf>
    <xf numFmtId="172" fontId="25" fillId="0" borderId="8" xfId="1" applyNumberFormat="1" applyFont="1" applyFill="1" applyBorder="1" applyAlignment="1">
      <alignment vertical="center"/>
    </xf>
    <xf numFmtId="173" fontId="25" fillId="0" borderId="8" xfId="1" applyNumberFormat="1" applyFont="1" applyFill="1" applyBorder="1" applyAlignment="1">
      <alignment vertical="center"/>
    </xf>
    <xf numFmtId="171" fontId="25" fillId="0" borderId="8" xfId="1" applyNumberFormat="1" applyFont="1" applyFill="1" applyBorder="1" applyAlignment="1">
      <alignment vertical="center"/>
    </xf>
    <xf numFmtId="172" fontId="32" fillId="0" borderId="8" xfId="1" applyNumberFormat="1" applyFont="1" applyFill="1" applyBorder="1" applyAlignment="1">
      <alignment vertical="center"/>
    </xf>
    <xf numFmtId="171" fontId="32" fillId="0" borderId="8" xfId="1" applyNumberFormat="1" applyFont="1" applyFill="1" applyBorder="1" applyAlignment="1">
      <alignment vertical="center"/>
    </xf>
    <xf numFmtId="172" fontId="32" fillId="0" borderId="8" xfId="1" quotePrefix="1" applyNumberFormat="1" applyFont="1" applyFill="1" applyBorder="1" applyAlignment="1">
      <alignment vertical="center" wrapText="1"/>
    </xf>
    <xf numFmtId="170" fontId="32" fillId="0" borderId="8" xfId="1" applyNumberFormat="1" applyFont="1" applyFill="1" applyBorder="1" applyAlignment="1">
      <alignment vertical="center"/>
    </xf>
    <xf numFmtId="172" fontId="25" fillId="0" borderId="8" xfId="1" quotePrefix="1" applyNumberFormat="1" applyFont="1" applyFill="1" applyBorder="1" applyAlignment="1">
      <alignment vertical="center" wrapText="1"/>
    </xf>
    <xf numFmtId="170" fontId="25" fillId="0" borderId="8" xfId="1" applyNumberFormat="1" applyFont="1" applyFill="1" applyBorder="1" applyAlignment="1">
      <alignment vertical="center"/>
    </xf>
    <xf numFmtId="0" fontId="32" fillId="0" borderId="8" xfId="12" applyFont="1" applyFill="1" applyBorder="1" applyAlignment="1">
      <alignment vertical="center" wrapText="1"/>
    </xf>
    <xf numFmtId="172" fontId="32" fillId="0" borderId="9" xfId="1" applyNumberFormat="1" applyFont="1" applyFill="1" applyBorder="1" applyAlignment="1">
      <alignment vertical="center"/>
    </xf>
    <xf numFmtId="172" fontId="32" fillId="0" borderId="9" xfId="1" quotePrefix="1" applyNumberFormat="1" applyFont="1" applyFill="1" applyBorder="1" applyAlignment="1">
      <alignment vertical="center" wrapText="1"/>
    </xf>
    <xf numFmtId="173" fontId="25" fillId="0" borderId="9" xfId="1" applyNumberFormat="1" applyFont="1" applyFill="1" applyBorder="1" applyAlignment="1">
      <alignment vertical="center"/>
    </xf>
    <xf numFmtId="170" fontId="32" fillId="0" borderId="9" xfId="1" applyNumberFormat="1" applyFont="1" applyFill="1" applyBorder="1" applyAlignment="1">
      <alignment vertical="center"/>
    </xf>
    <xf numFmtId="171" fontId="18" fillId="0" borderId="0" xfId="8" applyNumberFormat="1" applyFont="1" applyFill="1" applyAlignment="1">
      <alignment horizontal="right" vertical="center"/>
    </xf>
    <xf numFmtId="1" fontId="18" fillId="0" borderId="0" xfId="8" applyNumberFormat="1" applyFont="1" applyFill="1" applyAlignment="1">
      <alignment vertical="center"/>
    </xf>
    <xf numFmtId="171" fontId="34" fillId="0" borderId="0" xfId="8" applyNumberFormat="1" applyFont="1" applyFill="1" applyAlignment="1">
      <alignment vertical="center"/>
    </xf>
    <xf numFmtId="3" fontId="34" fillId="0" borderId="0" xfId="8" applyNumberFormat="1" applyFont="1" applyFill="1" applyAlignment="1">
      <alignment vertical="center"/>
    </xf>
    <xf numFmtId="1" fontId="34" fillId="0" borderId="0" xfId="8" applyNumberFormat="1" applyFont="1" applyFill="1" applyAlignment="1">
      <alignment vertical="center"/>
    </xf>
    <xf numFmtId="1" fontId="36" fillId="0" borderId="0" xfId="8" applyNumberFormat="1" applyFont="1" applyFill="1" applyAlignment="1">
      <alignment vertical="center"/>
    </xf>
    <xf numFmtId="1" fontId="38" fillId="0" borderId="5" xfId="8" applyNumberFormat="1" applyFont="1" applyFill="1" applyBorder="1" applyAlignment="1">
      <alignment vertical="center"/>
    </xf>
    <xf numFmtId="171" fontId="38" fillId="0" borderId="5" xfId="8" applyNumberFormat="1" applyFont="1" applyFill="1" applyBorder="1" applyAlignment="1">
      <alignment vertical="center"/>
    </xf>
    <xf numFmtId="3" fontId="32" fillId="0" borderId="0" xfId="8" applyNumberFormat="1" applyFont="1" applyFill="1" applyAlignment="1">
      <alignment horizontal="center" vertical="center" wrapText="1"/>
    </xf>
    <xf numFmtId="171" fontId="25" fillId="0" borderId="4" xfId="8" applyNumberFormat="1" applyFont="1" applyFill="1" applyBorder="1" applyAlignment="1">
      <alignment horizontal="center" vertical="center" wrapText="1"/>
    </xf>
    <xf numFmtId="3" fontId="33" fillId="0" borderId="7" xfId="8" applyNumberFormat="1" applyFont="1" applyFill="1" applyBorder="1" applyAlignment="1">
      <alignment horizontal="center" vertical="center" wrapText="1"/>
    </xf>
    <xf numFmtId="3" fontId="33" fillId="0" borderId="0" xfId="8" applyNumberFormat="1" applyFont="1" applyFill="1" applyAlignment="1">
      <alignment horizontal="center" vertical="center" wrapText="1"/>
    </xf>
    <xf numFmtId="1" fontId="25" fillId="0" borderId="8" xfId="8" applyNumberFormat="1" applyFont="1" applyFill="1" applyBorder="1" applyAlignment="1">
      <alignment horizontal="center" vertical="center"/>
    </xf>
    <xf numFmtId="0" fontId="25" fillId="0" borderId="8" xfId="13" applyFont="1" applyFill="1" applyBorder="1" applyAlignment="1">
      <alignment horizontal="left" vertical="center" wrapText="1"/>
    </xf>
    <xf numFmtId="1" fontId="25" fillId="0" borderId="0" xfId="8" applyNumberFormat="1" applyFont="1" applyFill="1" applyAlignment="1">
      <alignment vertical="center"/>
    </xf>
    <xf numFmtId="1" fontId="32" fillId="0" borderId="8" xfId="8" applyNumberFormat="1" applyFont="1" applyFill="1" applyBorder="1" applyAlignment="1">
      <alignment horizontal="center" vertical="center"/>
    </xf>
    <xf numFmtId="0" fontId="32" fillId="0" borderId="8" xfId="13" applyFont="1" applyFill="1" applyBorder="1" applyAlignment="1">
      <alignment horizontal="left" vertical="center" wrapText="1"/>
    </xf>
    <xf numFmtId="1" fontId="32" fillId="0" borderId="0" xfId="8" applyNumberFormat="1" applyFont="1" applyFill="1" applyAlignment="1">
      <alignment vertical="center"/>
    </xf>
    <xf numFmtId="0" fontId="32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horizontal="left" vertical="center" wrapText="1"/>
    </xf>
    <xf numFmtId="3" fontId="32" fillId="0" borderId="8" xfId="8" quotePrefix="1" applyNumberFormat="1" applyFont="1" applyFill="1" applyBorder="1" applyAlignment="1">
      <alignment horizontal="left" vertical="center" wrapText="1"/>
    </xf>
    <xf numFmtId="3" fontId="25" fillId="0" borderId="8" xfId="8" quotePrefix="1" applyNumberFormat="1" applyFont="1" applyFill="1" applyBorder="1" applyAlignment="1">
      <alignment horizontal="left" vertical="center" wrapText="1"/>
    </xf>
    <xf numFmtId="0" fontId="32" fillId="0" borderId="8" xfId="14" applyFont="1" applyFill="1" applyBorder="1" applyAlignment="1">
      <alignment horizontal="left" vertical="center" wrapText="1"/>
    </xf>
    <xf numFmtId="1" fontId="32" fillId="0" borderId="9" xfId="8" applyNumberFormat="1" applyFont="1" applyFill="1" applyBorder="1" applyAlignment="1">
      <alignment horizontal="center" vertical="center"/>
    </xf>
    <xf numFmtId="3" fontId="32" fillId="0" borderId="9" xfId="8" quotePrefix="1" applyNumberFormat="1" applyFont="1" applyFill="1" applyBorder="1" applyAlignment="1">
      <alignment horizontal="left" vertical="center" wrapText="1"/>
    </xf>
    <xf numFmtId="1" fontId="18" fillId="0" borderId="0" xfId="8" applyNumberFormat="1" applyFont="1" applyFill="1" applyAlignment="1">
      <alignment horizontal="center" vertical="center"/>
    </xf>
    <xf numFmtId="1" fontId="18" fillId="0" borderId="0" xfId="8" applyNumberFormat="1" applyFont="1" applyFill="1" applyAlignment="1">
      <alignment vertical="center" wrapText="1"/>
    </xf>
    <xf numFmtId="3" fontId="18" fillId="0" borderId="0" xfId="8" applyNumberFormat="1" applyFont="1" applyFill="1" applyAlignment="1">
      <alignment horizontal="right" vertical="center"/>
    </xf>
    <xf numFmtId="0" fontId="4" fillId="0" borderId="0" xfId="7" applyFont="1" applyAlignment="1">
      <alignment vertical="center"/>
    </xf>
    <xf numFmtId="0" fontId="4" fillId="0" borderId="0" xfId="7" applyFont="1"/>
    <xf numFmtId="0" fontId="35" fillId="0" borderId="0" xfId="7" applyFont="1" applyAlignment="1">
      <alignment vertical="center"/>
    </xf>
    <xf numFmtId="0" fontId="5" fillId="0" borderId="0" xfId="7" applyFont="1"/>
    <xf numFmtId="0" fontId="8" fillId="0" borderId="5" xfId="7" applyFont="1" applyBorder="1"/>
    <xf numFmtId="0" fontId="25" fillId="0" borderId="4" xfId="7" applyFont="1" applyBorder="1" applyAlignment="1">
      <alignment horizontal="center" vertical="center" wrapText="1"/>
    </xf>
    <xf numFmtId="0" fontId="26" fillId="0" borderId="13" xfId="7" applyFont="1" applyBorder="1" applyAlignment="1">
      <alignment horizontal="center" vertical="center" wrapText="1"/>
    </xf>
    <xf numFmtId="0" fontId="26" fillId="0" borderId="13" xfId="7" applyFont="1" applyBorder="1" applyAlignment="1">
      <alignment horizontal="center"/>
    </xf>
    <xf numFmtId="0" fontId="38" fillId="0" borderId="0" xfId="7" applyFont="1" applyAlignment="1">
      <alignment horizontal="center"/>
    </xf>
    <xf numFmtId="0" fontId="10" fillId="0" borderId="14" xfId="7" applyFont="1" applyBorder="1" applyAlignment="1">
      <alignment horizontal="center" vertical="center" wrapText="1"/>
    </xf>
    <xf numFmtId="166" fontId="10" fillId="0" borderId="14" xfId="11" applyNumberFormat="1" applyFont="1" applyFill="1" applyBorder="1" applyAlignment="1">
      <alignment horizontal="center" vertical="center" wrapText="1"/>
    </xf>
    <xf numFmtId="1" fontId="10" fillId="0" borderId="14" xfId="7" applyNumberFormat="1" applyFont="1" applyBorder="1"/>
    <xf numFmtId="0" fontId="12" fillId="0" borderId="0" xfId="7" applyFont="1"/>
    <xf numFmtId="0" fontId="10" fillId="0" borderId="4" xfId="7" applyFont="1" applyBorder="1" applyAlignment="1">
      <alignment horizontal="center" vertical="center" wrapText="1"/>
    </xf>
    <xf numFmtId="0" fontId="10" fillId="0" borderId="4" xfId="7" applyFont="1" applyBorder="1" applyAlignment="1">
      <alignment vertical="center" wrapText="1"/>
    </xf>
    <xf numFmtId="164" fontId="10" fillId="0" borderId="4" xfId="11" applyFont="1" applyFill="1" applyBorder="1" applyAlignment="1">
      <alignment horizontal="right" vertical="center" wrapText="1"/>
    </xf>
    <xf numFmtId="0" fontId="12" fillId="0" borderId="3" xfId="7" applyFont="1" applyBorder="1" applyAlignment="1">
      <alignment horizontal="center" vertical="center" wrapText="1"/>
    </xf>
    <xf numFmtId="0" fontId="12" fillId="0" borderId="3" xfId="7" applyFont="1" applyBorder="1" applyAlignment="1">
      <alignment vertical="center" wrapText="1"/>
    </xf>
    <xf numFmtId="164" fontId="12" fillId="0" borderId="3" xfId="11" applyFont="1" applyFill="1" applyBorder="1" applyAlignment="1">
      <alignment horizontal="right" vertical="center" wrapText="1"/>
    </xf>
    <xf numFmtId="164" fontId="12" fillId="0" borderId="3" xfId="11" applyFont="1" applyFill="1" applyBorder="1" applyAlignment="1">
      <alignment horizontal="right"/>
    </xf>
    <xf numFmtId="0" fontId="12" fillId="0" borderId="1" xfId="7" applyFont="1" applyBorder="1" applyAlignment="1">
      <alignment horizontal="center" vertical="center" wrapText="1"/>
    </xf>
    <xf numFmtId="0" fontId="12" fillId="0" borderId="1" xfId="7" applyFont="1" applyBorder="1" applyAlignment="1">
      <alignment vertical="center" wrapText="1"/>
    </xf>
    <xf numFmtId="164" fontId="12" fillId="0" borderId="1" xfId="11" applyFont="1" applyFill="1" applyBorder="1" applyAlignment="1">
      <alignment horizontal="right" vertical="center" wrapText="1"/>
    </xf>
    <xf numFmtId="164" fontId="12" fillId="0" borderId="1" xfId="11" applyFont="1" applyFill="1" applyBorder="1" applyAlignment="1">
      <alignment horizontal="right"/>
    </xf>
    <xf numFmtId="166" fontId="12" fillId="0" borderId="1" xfId="7" applyNumberFormat="1" applyFont="1" applyBorder="1" applyAlignment="1">
      <alignment horizontal="right"/>
    </xf>
    <xf numFmtId="0" fontId="12" fillId="0" borderId="1" xfId="7" applyFont="1" applyBorder="1" applyAlignment="1">
      <alignment horizontal="center"/>
    </xf>
    <xf numFmtId="174" fontId="12" fillId="0" borderId="1" xfId="7" applyNumberFormat="1" applyFont="1" applyBorder="1" applyAlignment="1">
      <alignment horizontal="left" vertical="center" wrapText="1"/>
    </xf>
    <xf numFmtId="164" fontId="12" fillId="0" borderId="1" xfId="11" applyFont="1" applyFill="1" applyBorder="1" applyAlignment="1">
      <alignment horizontal="right" vertical="center" wrapText="1" indent="1"/>
    </xf>
    <xf numFmtId="0" fontId="12" fillId="0" borderId="6" xfId="7" applyFont="1" applyBorder="1" applyAlignment="1">
      <alignment horizontal="center" vertical="center" wrapText="1"/>
    </xf>
    <xf numFmtId="166" fontId="12" fillId="0" borderId="0" xfId="7" applyNumberFormat="1" applyFont="1"/>
    <xf numFmtId="164" fontId="12" fillId="0" borderId="1" xfId="7" applyNumberFormat="1" applyFont="1" applyBorder="1" applyAlignment="1">
      <alignment horizontal="right"/>
    </xf>
    <xf numFmtId="0" fontId="12" fillId="0" borderId="1" xfId="7" applyFont="1" applyBorder="1"/>
    <xf numFmtId="0" fontId="12" fillId="0" borderId="1" xfId="2" applyFont="1" applyBorder="1" applyAlignment="1" applyProtection="1">
      <alignment vertical="center" wrapText="1"/>
      <protection locked="0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Border="1" applyAlignment="1">
      <alignment vertical="center" wrapText="1"/>
    </xf>
    <xf numFmtId="164" fontId="10" fillId="0" borderId="1" xfId="11" applyFont="1" applyFill="1" applyBorder="1" applyAlignment="1">
      <alignment horizontal="right" vertical="center" wrapText="1"/>
    </xf>
    <xf numFmtId="0" fontId="10" fillId="0" borderId="2" xfId="7" applyFont="1" applyBorder="1" applyAlignment="1">
      <alignment horizontal="center" vertical="center" wrapText="1"/>
    </xf>
    <xf numFmtId="0" fontId="10" fillId="0" borderId="2" xfId="7" applyFont="1" applyBorder="1" applyAlignment="1">
      <alignment vertical="center" wrapText="1"/>
    </xf>
    <xf numFmtId="164" fontId="10" fillId="0" borderId="2" xfId="11" applyFont="1" applyFill="1" applyBorder="1" applyAlignment="1">
      <alignment horizontal="right" vertical="center" wrapText="1"/>
    </xf>
    <xf numFmtId="164" fontId="12" fillId="0" borderId="2" xfId="7" applyNumberFormat="1" applyFont="1" applyBorder="1" applyAlignment="1">
      <alignment horizontal="right"/>
    </xf>
    <xf numFmtId="0" fontId="12" fillId="0" borderId="2" xfId="7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 wrapText="1"/>
    </xf>
    <xf numFmtId="165" fontId="12" fillId="0" borderId="3" xfId="1" applyNumberFormat="1" applyFont="1" applyBorder="1" applyAlignment="1">
      <alignment horizontal="center"/>
    </xf>
    <xf numFmtId="165" fontId="12" fillId="0" borderId="3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/>
    </xf>
    <xf numFmtId="165" fontId="12" fillId="0" borderId="1" xfId="1" applyNumberFormat="1" applyFont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165" fontId="12" fillId="0" borderId="3" xfId="1" applyNumberFormat="1" applyFont="1" applyBorder="1" applyAlignment="1">
      <alignment horizontal="right"/>
    </xf>
    <xf numFmtId="165" fontId="12" fillId="0" borderId="1" xfId="1" applyNumberFormat="1" applyFont="1" applyBorder="1" applyAlignment="1">
      <alignment horizontal="right"/>
    </xf>
    <xf numFmtId="165" fontId="10" fillId="0" borderId="4" xfId="1" applyNumberFormat="1" applyFont="1" applyBorder="1" applyAlignment="1">
      <alignment horizontal="center"/>
    </xf>
    <xf numFmtId="3" fontId="35" fillId="0" borderId="0" xfId="8" applyNumberFormat="1" applyFont="1" applyFill="1" applyAlignment="1">
      <alignment vertical="center"/>
    </xf>
    <xf numFmtId="164" fontId="12" fillId="2" borderId="9" xfId="1" applyFont="1" applyFill="1" applyBorder="1" applyAlignment="1">
      <alignment horizontal="right" vertical="center" wrapText="1"/>
    </xf>
    <xf numFmtId="164" fontId="12" fillId="2" borderId="8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5" fillId="0" borderId="4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/>
    </xf>
    <xf numFmtId="0" fontId="35" fillId="0" borderId="0" xfId="7" applyFont="1" applyAlignment="1">
      <alignment horizontal="right" vertical="center"/>
    </xf>
    <xf numFmtId="0" fontId="18" fillId="0" borderId="0" xfId="7" applyFont="1" applyAlignment="1">
      <alignment horizontal="center" vertical="center"/>
    </xf>
    <xf numFmtId="0" fontId="4" fillId="0" borderId="0" xfId="7" applyFont="1" applyAlignment="1">
      <alignment horizontal="center" vertical="center" wrapText="1"/>
    </xf>
    <xf numFmtId="0" fontId="40" fillId="0" borderId="5" xfId="7" applyFont="1" applyBorder="1" applyAlignment="1">
      <alignment horizontal="right"/>
    </xf>
    <xf numFmtId="0" fontId="34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10" fillId="0" borderId="4" xfId="7" applyFont="1" applyBorder="1" applyAlignment="1">
      <alignment horizontal="center" vertical="center"/>
    </xf>
    <xf numFmtId="0" fontId="10" fillId="0" borderId="4" xfId="7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5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40" fillId="0" borderId="5" xfId="8" applyNumberFormat="1" applyFont="1" applyFill="1" applyBorder="1" applyAlignment="1">
      <alignment horizontal="right" vertical="center"/>
    </xf>
    <xf numFmtId="1" fontId="34" fillId="0" borderId="0" xfId="8" applyNumberFormat="1" applyFont="1" applyFill="1" applyAlignment="1">
      <alignment horizontal="center" vertical="center"/>
    </xf>
    <xf numFmtId="1" fontId="34" fillId="0" borderId="0" xfId="8" applyNumberFormat="1" applyFont="1" applyFill="1" applyAlignment="1">
      <alignment horizontal="center" vertical="center" wrapText="1"/>
    </xf>
    <xf numFmtId="1" fontId="37" fillId="0" borderId="0" xfId="8" applyNumberFormat="1" applyFont="1" applyFill="1" applyAlignment="1">
      <alignment horizontal="center" vertical="center" wrapText="1"/>
    </xf>
    <xf numFmtId="3" fontId="4" fillId="0" borderId="0" xfId="8" applyNumberFormat="1" applyFont="1" applyFill="1" applyAlignment="1">
      <alignment horizontal="center" vertical="center"/>
    </xf>
    <xf numFmtId="171" fontId="25" fillId="0" borderId="4" xfId="8" applyNumberFormat="1" applyFont="1" applyFill="1" applyBorder="1" applyAlignment="1">
      <alignment horizontal="center" vertical="center" wrapText="1"/>
    </xf>
    <xf numFmtId="3" fontId="25" fillId="0" borderId="4" xfId="8" applyNumberFormat="1" applyFont="1" applyFill="1" applyBorder="1" applyAlignment="1">
      <alignment horizontal="center" vertical="center" wrapText="1"/>
    </xf>
  </cellXfs>
  <cellStyles count="15">
    <cellStyle name="AutoFormat-Optionen 2" xfId="6"/>
    <cellStyle name="Comma" xfId="1" builtinId="3"/>
    <cellStyle name="Comma 15" xfId="9"/>
    <cellStyle name="Comma 2 2 2" xfId="11"/>
    <cellStyle name="Comma 3" xfId="10"/>
    <cellStyle name="Normal" xfId="0" builtinId="0"/>
    <cellStyle name="Normal 10 2" xfId="4"/>
    <cellStyle name="Normal 2 2" xfId="7"/>
    <cellStyle name="Normal 2 3_Worksheet in Thong bao phan bo KH 2011 chuyen nguon sang 2012_CT" xfId="5"/>
    <cellStyle name="Normal 55" xfId="13"/>
    <cellStyle name="Normal_Bieu mau (CV ) 2 2" xfId="8"/>
    <cellStyle name="Normal_Sheet1" xfId="2"/>
    <cellStyle name="Normal_Sheet1 2" xfId="14"/>
    <cellStyle name="Style 1" xfId="3"/>
    <cellStyle name="Style 1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28575</xdr:rowOff>
    </xdr:from>
    <xdr:to>
      <xdr:col>1</xdr:col>
      <xdr:colOff>762000</xdr:colOff>
      <xdr:row>2</xdr:row>
      <xdr:rowOff>30163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8600" y="485775"/>
          <a:ext cx="8953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28575</xdr:rowOff>
    </xdr:from>
    <xdr:to>
      <xdr:col>1</xdr:col>
      <xdr:colOff>704850</xdr:colOff>
      <xdr:row>2</xdr:row>
      <xdr:rowOff>30163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9075" y="485775"/>
          <a:ext cx="933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28575</xdr:rowOff>
    </xdr:from>
    <xdr:to>
      <xdr:col>1</xdr:col>
      <xdr:colOff>704850</xdr:colOff>
      <xdr:row>2</xdr:row>
      <xdr:rowOff>30163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19075" y="485775"/>
          <a:ext cx="933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9525</xdr:rowOff>
    </xdr:from>
    <xdr:to>
      <xdr:col>1</xdr:col>
      <xdr:colOff>762000</xdr:colOff>
      <xdr:row>2</xdr:row>
      <xdr:rowOff>11113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28600" y="466725"/>
          <a:ext cx="876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39159</xdr:colOff>
      <xdr:row>5</xdr:row>
      <xdr:rowOff>7408</xdr:rowOff>
    </xdr:from>
    <xdr:to>
      <xdr:col>1</xdr:col>
      <xdr:colOff>831851</xdr:colOff>
      <xdr:row>5</xdr:row>
      <xdr:rowOff>8996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DA0920FC-B157-4F74-B77A-7C413F9AE7B7}"/>
            </a:ext>
          </a:extLst>
        </xdr:cNvPr>
        <xdr:cNvCxnSpPr/>
      </xdr:nvCxnSpPr>
      <xdr:spPr>
        <a:xfrm>
          <a:off x="346076" y="1108075"/>
          <a:ext cx="792692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28575</xdr:rowOff>
    </xdr:from>
    <xdr:to>
      <xdr:col>1</xdr:col>
      <xdr:colOff>704850</xdr:colOff>
      <xdr:row>2</xdr:row>
      <xdr:rowOff>30163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19075" y="485775"/>
          <a:ext cx="9239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2</xdr:row>
      <xdr:rowOff>28575</xdr:rowOff>
    </xdr:from>
    <xdr:to>
      <xdr:col>1</xdr:col>
      <xdr:colOff>809625</xdr:colOff>
      <xdr:row>2</xdr:row>
      <xdr:rowOff>30163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47650" y="485775"/>
          <a:ext cx="10001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219075</xdr:colOff>
      <xdr:row>2</xdr:row>
      <xdr:rowOff>28575</xdr:rowOff>
    </xdr:from>
    <xdr:to>
      <xdr:col>1</xdr:col>
      <xdr:colOff>704850</xdr:colOff>
      <xdr:row>2</xdr:row>
      <xdr:rowOff>30163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B352BB5F-2C32-4EF8-97A3-F8E95B118935}"/>
            </a:ext>
          </a:extLst>
        </xdr:cNvPr>
        <xdr:cNvCxnSpPr/>
      </xdr:nvCxnSpPr>
      <xdr:spPr>
        <a:xfrm>
          <a:off x="219075" y="447675"/>
          <a:ext cx="9239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2</xdr:row>
      <xdr:rowOff>28575</xdr:rowOff>
    </xdr:from>
    <xdr:to>
      <xdr:col>1</xdr:col>
      <xdr:colOff>809625</xdr:colOff>
      <xdr:row>2</xdr:row>
      <xdr:rowOff>30163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E8A89B86-E243-436B-9BA1-9AA820136CB1}"/>
            </a:ext>
          </a:extLst>
        </xdr:cNvPr>
        <xdr:cNvCxnSpPr/>
      </xdr:nvCxnSpPr>
      <xdr:spPr>
        <a:xfrm>
          <a:off x="247650" y="447675"/>
          <a:ext cx="10001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</xdr:row>
      <xdr:rowOff>28575</xdr:rowOff>
    </xdr:from>
    <xdr:to>
      <xdr:col>1</xdr:col>
      <xdr:colOff>1600200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36AB9E56-14D6-4365-A087-C36D392222F1}"/>
            </a:ext>
          </a:extLst>
        </xdr:cNvPr>
        <xdr:cNvCxnSpPr/>
      </xdr:nvCxnSpPr>
      <xdr:spPr>
        <a:xfrm>
          <a:off x="952500" y="504825"/>
          <a:ext cx="1009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SheetLayoutView="100" workbookViewId="0">
      <selection activeCell="B13" sqref="B13"/>
    </sheetView>
  </sheetViews>
  <sheetFormatPr defaultColWidth="9.140625" defaultRowHeight="16.5" x14ac:dyDescent="0.25"/>
  <cols>
    <col min="1" max="1" width="5.42578125" style="1" customWidth="1"/>
    <col min="2" max="2" width="48.7109375" style="1" customWidth="1"/>
    <col min="3" max="4" width="15" style="1" customWidth="1"/>
    <col min="5" max="5" width="10.85546875" style="1" customWidth="1"/>
    <col min="6" max="6" width="9.140625" style="1"/>
    <col min="7" max="7" width="22.42578125" style="1" customWidth="1"/>
    <col min="8" max="16384" width="9.140625" style="1"/>
  </cols>
  <sheetData>
    <row r="1" spans="1:7" ht="18" customHeight="1" x14ac:dyDescent="0.25">
      <c r="A1" s="7" t="s">
        <v>92</v>
      </c>
      <c r="B1" s="8"/>
      <c r="C1" s="8"/>
      <c r="D1" s="220" t="s">
        <v>91</v>
      </c>
      <c r="E1" s="220"/>
    </row>
    <row r="2" spans="1:7" ht="18" customHeight="1" x14ac:dyDescent="0.25">
      <c r="A2" s="7" t="s">
        <v>93</v>
      </c>
      <c r="B2" s="8"/>
      <c r="C2" s="8"/>
      <c r="D2" s="18"/>
      <c r="E2" s="18"/>
    </row>
    <row r="3" spans="1:7" ht="13.5" customHeight="1" x14ac:dyDescent="0.25">
      <c r="A3" s="7"/>
      <c r="B3" s="8"/>
      <c r="C3" s="8"/>
      <c r="D3" s="18"/>
      <c r="E3" s="18"/>
    </row>
    <row r="4" spans="1:7" ht="18.75" x14ac:dyDescent="0.3">
      <c r="A4" s="217" t="s">
        <v>322</v>
      </c>
      <c r="B4" s="217"/>
      <c r="C4" s="217"/>
      <c r="D4" s="217"/>
      <c r="E4" s="217"/>
    </row>
    <row r="5" spans="1:7" x14ac:dyDescent="0.25">
      <c r="A5" s="218" t="s">
        <v>324</v>
      </c>
      <c r="B5" s="218"/>
      <c r="C5" s="218"/>
      <c r="D5" s="218"/>
      <c r="E5" s="218"/>
    </row>
    <row r="6" spans="1:7" ht="17.25" x14ac:dyDescent="0.3">
      <c r="A6" s="219" t="s">
        <v>0</v>
      </c>
      <c r="B6" s="219"/>
      <c r="C6" s="219"/>
      <c r="D6" s="219"/>
      <c r="E6" s="219"/>
    </row>
    <row r="7" spans="1:7" ht="33" x14ac:dyDescent="0.25">
      <c r="A7" s="15" t="s">
        <v>1</v>
      </c>
      <c r="B7" s="15" t="s">
        <v>42</v>
      </c>
      <c r="C7" s="15" t="s">
        <v>85</v>
      </c>
      <c r="D7" s="15" t="s">
        <v>84</v>
      </c>
      <c r="E7" s="15" t="s">
        <v>86</v>
      </c>
    </row>
    <row r="8" spans="1:7" x14ac:dyDescent="0.25">
      <c r="A8" s="16" t="s">
        <v>2</v>
      </c>
      <c r="B8" s="16" t="s">
        <v>16</v>
      </c>
      <c r="C8" s="16">
        <v>1</v>
      </c>
      <c r="D8" s="16">
        <v>2</v>
      </c>
      <c r="E8" s="16" t="s">
        <v>87</v>
      </c>
    </row>
    <row r="9" spans="1:7" x14ac:dyDescent="0.25">
      <c r="A9" s="14" t="s">
        <v>2</v>
      </c>
      <c r="B9" s="6" t="s">
        <v>3</v>
      </c>
      <c r="C9" s="21">
        <f>C10+C13+C16+C17+C18</f>
        <v>395691</v>
      </c>
      <c r="D9" s="27">
        <f>D10+D13+D16+D17+D18</f>
        <v>512437.96045799996</v>
      </c>
      <c r="E9" s="27">
        <f>D9/C9*100</f>
        <v>129.5045781829761</v>
      </c>
      <c r="G9" s="24"/>
    </row>
    <row r="10" spans="1:7" x14ac:dyDescent="0.25">
      <c r="A10" s="12">
        <v>1</v>
      </c>
      <c r="B10" s="3" t="s">
        <v>5</v>
      </c>
      <c r="C10" s="22">
        <f>SUM(C11:C12)</f>
        <v>81677</v>
      </c>
      <c r="D10" s="28">
        <f>SUM(D11:D12)</f>
        <v>98314.24704300001</v>
      </c>
      <c r="E10" s="37">
        <f t="shared" ref="E10:E15" si="0">D10/C10*100</f>
        <v>120.36956186319283</v>
      </c>
      <c r="G10" s="26"/>
    </row>
    <row r="11" spans="1:7" x14ac:dyDescent="0.25">
      <c r="A11" s="12" t="s">
        <v>6</v>
      </c>
      <c r="B11" s="3" t="s">
        <v>7</v>
      </c>
      <c r="C11" s="22">
        <f>81677-C12</f>
        <v>40900</v>
      </c>
      <c r="D11" s="28">
        <v>47888.703349000003</v>
      </c>
      <c r="E11" s="37">
        <f t="shared" si="0"/>
        <v>117.08729425183375</v>
      </c>
    </row>
    <row r="12" spans="1:7" ht="33" x14ac:dyDescent="0.25">
      <c r="A12" s="12" t="s">
        <v>6</v>
      </c>
      <c r="B12" s="3" t="s">
        <v>8</v>
      </c>
      <c r="C12" s="22">
        <f>'97'!D14+'97'!D15+'97'!D19+'97'!D20+'97'!D23+'97'!D24+'97'!D25+'97'!D30</f>
        <v>40777</v>
      </c>
      <c r="D12" s="28">
        <v>50425.543694</v>
      </c>
      <c r="E12" s="37">
        <f t="shared" si="0"/>
        <v>123.66173012727764</v>
      </c>
    </row>
    <row r="13" spans="1:7" x14ac:dyDescent="0.25">
      <c r="A13" s="12">
        <v>2</v>
      </c>
      <c r="B13" s="3" t="s">
        <v>88</v>
      </c>
      <c r="C13" s="22">
        <f>SUM(C14:C15)</f>
        <v>314014</v>
      </c>
      <c r="D13" s="28">
        <f>SUM(D14:D15)</f>
        <v>338191.22399999999</v>
      </c>
      <c r="E13" s="37">
        <f t="shared" si="0"/>
        <v>107.69940958046456</v>
      </c>
    </row>
    <row r="14" spans="1:7" x14ac:dyDescent="0.25">
      <c r="A14" s="12" t="s">
        <v>6</v>
      </c>
      <c r="B14" s="3" t="s">
        <v>10</v>
      </c>
      <c r="C14" s="22">
        <v>264071</v>
      </c>
      <c r="D14" s="28">
        <v>264071</v>
      </c>
      <c r="E14" s="37">
        <f t="shared" si="0"/>
        <v>100</v>
      </c>
      <c r="G14" s="24"/>
    </row>
    <row r="15" spans="1:7" x14ac:dyDescent="0.25">
      <c r="A15" s="12" t="s">
        <v>6</v>
      </c>
      <c r="B15" s="3" t="s">
        <v>11</v>
      </c>
      <c r="C15" s="22">
        <v>49943</v>
      </c>
      <c r="D15" s="28">
        <v>74120.224000000002</v>
      </c>
      <c r="E15" s="37">
        <f t="shared" si="0"/>
        <v>148.40963498388163</v>
      </c>
    </row>
    <row r="16" spans="1:7" x14ac:dyDescent="0.25">
      <c r="A16" s="12">
        <v>3</v>
      </c>
      <c r="B16" s="3" t="s">
        <v>13</v>
      </c>
      <c r="C16" s="22"/>
      <c r="D16" s="28">
        <v>3053.016157</v>
      </c>
      <c r="E16" s="27"/>
    </row>
    <row r="17" spans="1:5" x14ac:dyDescent="0.25">
      <c r="A17" s="12">
        <v>4</v>
      </c>
      <c r="B17" s="3" t="s">
        <v>15</v>
      </c>
      <c r="C17" s="22"/>
      <c r="D17" s="28">
        <v>72536.512558999995</v>
      </c>
      <c r="E17" s="27"/>
    </row>
    <row r="18" spans="1:5" x14ac:dyDescent="0.25">
      <c r="A18" s="12">
        <v>5</v>
      </c>
      <c r="B18" s="3" t="s">
        <v>113</v>
      </c>
      <c r="C18" s="22"/>
      <c r="D18" s="28">
        <v>342.96069899999998</v>
      </c>
      <c r="E18" s="27"/>
    </row>
    <row r="19" spans="1:5" x14ac:dyDescent="0.25">
      <c r="A19" s="13" t="s">
        <v>16</v>
      </c>
      <c r="B19" s="2" t="s">
        <v>17</v>
      </c>
      <c r="C19" s="23">
        <f>C20+C26+C29</f>
        <v>395691</v>
      </c>
      <c r="D19" s="29">
        <f>D20+D26+D29</f>
        <v>510836.25580799999</v>
      </c>
      <c r="E19" s="27">
        <f>D19/C19*100</f>
        <v>129.09979145545387</v>
      </c>
    </row>
    <row r="20" spans="1:5" x14ac:dyDescent="0.25">
      <c r="A20" s="13" t="s">
        <v>18</v>
      </c>
      <c r="B20" s="10" t="s">
        <v>89</v>
      </c>
      <c r="C20" s="22">
        <f>C21+C22+C23+C24+C25</f>
        <v>363148</v>
      </c>
      <c r="D20" s="28">
        <f>D21+D22+D23+D24+D25</f>
        <v>414699.72646899999</v>
      </c>
      <c r="E20" s="37">
        <f t="shared" ref="E20:E22" si="1">D20/C20*100</f>
        <v>114.19578972457509</v>
      </c>
    </row>
    <row r="21" spans="1:5" x14ac:dyDescent="0.25">
      <c r="A21" s="12" t="s">
        <v>90</v>
      </c>
      <c r="B21" s="3" t="s">
        <v>19</v>
      </c>
      <c r="C21" s="22">
        <f>25505+17400</f>
        <v>42905</v>
      </c>
      <c r="D21" s="28">
        <v>73769.319015999994</v>
      </c>
      <c r="E21" s="37">
        <f t="shared" si="1"/>
        <v>171.93641537349959</v>
      </c>
    </row>
    <row r="22" spans="1:5" x14ac:dyDescent="0.25">
      <c r="A22" s="12">
        <v>2</v>
      </c>
      <c r="B22" s="3" t="s">
        <v>20</v>
      </c>
      <c r="C22" s="22">
        <v>313253</v>
      </c>
      <c r="D22" s="28">
        <f>388188.721562-D27-D28</f>
        <v>330931.73398799996</v>
      </c>
      <c r="E22" s="37">
        <f t="shared" si="1"/>
        <v>105.64359606707676</v>
      </c>
    </row>
    <row r="23" spans="1:5" x14ac:dyDescent="0.25">
      <c r="A23" s="12">
        <v>3</v>
      </c>
      <c r="B23" s="3" t="s">
        <v>21</v>
      </c>
      <c r="C23" s="22">
        <v>6990</v>
      </c>
      <c r="D23" s="28"/>
      <c r="E23" s="27"/>
    </row>
    <row r="24" spans="1:5" x14ac:dyDescent="0.25">
      <c r="A24" s="12">
        <v>4</v>
      </c>
      <c r="B24" s="3" t="s">
        <v>22</v>
      </c>
      <c r="C24" s="23"/>
      <c r="D24" s="29"/>
      <c r="E24" s="27"/>
    </row>
    <row r="25" spans="1:5" x14ac:dyDescent="0.25">
      <c r="A25" s="12">
        <v>5</v>
      </c>
      <c r="B25" s="3" t="s">
        <v>114</v>
      </c>
      <c r="C25" s="23"/>
      <c r="D25" s="28">
        <v>9998.6734649999999</v>
      </c>
      <c r="E25" s="27"/>
    </row>
    <row r="26" spans="1:5" x14ac:dyDescent="0.25">
      <c r="A26" s="13" t="s">
        <v>9</v>
      </c>
      <c r="B26" s="2" t="s">
        <v>23</v>
      </c>
      <c r="C26" s="22">
        <f>C27+C28</f>
        <v>32543</v>
      </c>
      <c r="D26" s="28">
        <f>SUM(D27:D28)</f>
        <v>57256.987573999999</v>
      </c>
      <c r="E26" s="27"/>
    </row>
    <row r="27" spans="1:5" x14ac:dyDescent="0.25">
      <c r="A27" s="12">
        <v>1</v>
      </c>
      <c r="B27" s="3" t="s">
        <v>24</v>
      </c>
      <c r="C27" s="22"/>
      <c r="D27" s="28">
        <v>587.78332399999999</v>
      </c>
      <c r="E27" s="27"/>
    </row>
    <row r="28" spans="1:5" x14ac:dyDescent="0.25">
      <c r="A28" s="12">
        <v>2</v>
      </c>
      <c r="B28" s="3" t="s">
        <v>25</v>
      </c>
      <c r="C28" s="22">
        <f>23875+8668</f>
        <v>32543</v>
      </c>
      <c r="D28" s="28">
        <v>56669.204250000003</v>
      </c>
      <c r="E28" s="27"/>
    </row>
    <row r="29" spans="1:5" x14ac:dyDescent="0.25">
      <c r="A29" s="30" t="s">
        <v>12</v>
      </c>
      <c r="B29" s="31" t="s">
        <v>26</v>
      </c>
      <c r="C29" s="32"/>
      <c r="D29" s="33">
        <v>38879.541765000002</v>
      </c>
      <c r="E29" s="27"/>
    </row>
    <row r="30" spans="1:5" ht="18" customHeight="1" x14ac:dyDescent="0.25">
      <c r="A30" s="34" t="s">
        <v>52</v>
      </c>
      <c r="B30" s="35" t="s">
        <v>115</v>
      </c>
      <c r="C30" s="35"/>
      <c r="D30" s="36">
        <f>D9-D19</f>
        <v>1601.7046499999706</v>
      </c>
      <c r="E30" s="35"/>
    </row>
  </sheetData>
  <mergeCells count="4">
    <mergeCell ref="A4:E4"/>
    <mergeCell ref="A5:E5"/>
    <mergeCell ref="A6:E6"/>
    <mergeCell ref="D1:E1"/>
  </mergeCells>
  <pageMargins left="0.47" right="0.25" top="0.75" bottom="0.75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60" workbookViewId="0">
      <selection activeCell="A5" sqref="A5:H5"/>
    </sheetView>
  </sheetViews>
  <sheetFormatPr defaultColWidth="9.140625" defaultRowHeight="16.5" x14ac:dyDescent="0.25"/>
  <cols>
    <col min="1" max="1" width="6.7109375" style="1" customWidth="1"/>
    <col min="2" max="2" width="54.42578125" style="1" customWidth="1"/>
    <col min="3" max="4" width="13" style="1" customWidth="1"/>
    <col min="5" max="6" width="13.85546875" style="1" customWidth="1"/>
    <col min="7" max="7" width="10" style="1" customWidth="1"/>
    <col min="8" max="8" width="9.85546875" style="1" customWidth="1"/>
    <col min="9" max="9" width="9.140625" style="1"/>
    <col min="10" max="10" width="10.85546875" style="1" customWidth="1"/>
    <col min="11" max="11" width="12.42578125" style="1" customWidth="1"/>
    <col min="12" max="16384" width="9.140625" style="1"/>
  </cols>
  <sheetData>
    <row r="1" spans="1:11" ht="18" customHeight="1" x14ac:dyDescent="0.25">
      <c r="A1" s="7" t="s">
        <v>92</v>
      </c>
      <c r="B1" s="8"/>
      <c r="C1" s="8"/>
      <c r="D1" s="220"/>
      <c r="E1" s="220"/>
      <c r="F1" s="220" t="s">
        <v>102</v>
      </c>
      <c r="G1" s="220"/>
      <c r="H1" s="220"/>
    </row>
    <row r="2" spans="1:11" ht="18" customHeight="1" x14ac:dyDescent="0.25">
      <c r="A2" s="7" t="s">
        <v>93</v>
      </c>
      <c r="B2" s="8"/>
      <c r="C2" s="8"/>
      <c r="D2" s="18"/>
      <c r="E2" s="18"/>
    </row>
    <row r="3" spans="1:11" ht="14.25" customHeight="1" x14ac:dyDescent="0.25"/>
    <row r="4" spans="1:11" ht="18.75" x14ac:dyDescent="0.3">
      <c r="A4" s="217" t="s">
        <v>213</v>
      </c>
      <c r="B4" s="217"/>
      <c r="C4" s="217"/>
      <c r="D4" s="217"/>
      <c r="E4" s="217"/>
      <c r="F4" s="217"/>
      <c r="G4" s="217"/>
      <c r="H4" s="217"/>
    </row>
    <row r="5" spans="1:11" x14ac:dyDescent="0.25">
      <c r="A5" s="218" t="str">
        <f>'96'!A5:E5</f>
        <v>(Kèm theo Quyết định số        /QĐ-UBND ngày      tháng 7 năm 2022 của UBND huyện Đăk Hà)</v>
      </c>
      <c r="B5" s="218"/>
      <c r="C5" s="218"/>
      <c r="D5" s="218"/>
      <c r="E5" s="218"/>
      <c r="F5" s="218"/>
      <c r="G5" s="218"/>
      <c r="H5" s="218"/>
    </row>
    <row r="6" spans="1:11" ht="17.25" x14ac:dyDescent="0.3">
      <c r="A6" s="17"/>
      <c r="C6" s="24"/>
      <c r="E6" s="25"/>
      <c r="F6" s="222" t="s">
        <v>0</v>
      </c>
      <c r="G6" s="222"/>
      <c r="H6" s="222"/>
    </row>
    <row r="7" spans="1:11" x14ac:dyDescent="0.25">
      <c r="A7" s="221" t="s">
        <v>1</v>
      </c>
      <c r="B7" s="221" t="s">
        <v>42</v>
      </c>
      <c r="C7" s="221" t="s">
        <v>94</v>
      </c>
      <c r="D7" s="221"/>
      <c r="E7" s="221" t="s">
        <v>84</v>
      </c>
      <c r="F7" s="221"/>
      <c r="G7" s="221" t="s">
        <v>86</v>
      </c>
      <c r="H7" s="221"/>
    </row>
    <row r="8" spans="1:11" ht="49.5" x14ac:dyDescent="0.25">
      <c r="A8" s="221"/>
      <c r="B8" s="221"/>
      <c r="C8" s="15" t="s">
        <v>27</v>
      </c>
      <c r="D8" s="15" t="s">
        <v>28</v>
      </c>
      <c r="E8" s="15" t="s">
        <v>27</v>
      </c>
      <c r="F8" s="15" t="s">
        <v>28</v>
      </c>
      <c r="G8" s="15" t="s">
        <v>27</v>
      </c>
      <c r="H8" s="15" t="s">
        <v>28</v>
      </c>
    </row>
    <row r="9" spans="1:11" x14ac:dyDescent="0.25">
      <c r="A9" s="15" t="s">
        <v>2</v>
      </c>
      <c r="B9" s="15" t="s">
        <v>16</v>
      </c>
      <c r="C9" s="15">
        <v>1</v>
      </c>
      <c r="D9" s="15">
        <v>2</v>
      </c>
      <c r="E9" s="15">
        <v>3</v>
      </c>
      <c r="F9" s="15">
        <v>4</v>
      </c>
      <c r="G9" s="15" t="s">
        <v>95</v>
      </c>
      <c r="H9" s="15" t="s">
        <v>96</v>
      </c>
    </row>
    <row r="10" spans="1:11" x14ac:dyDescent="0.25">
      <c r="A10" s="11"/>
      <c r="B10" s="6" t="s">
        <v>97</v>
      </c>
      <c r="C10" s="42">
        <f>C11+C44+C45</f>
        <v>150230</v>
      </c>
      <c r="D10" s="42">
        <f>D11+D44+D45</f>
        <v>81677</v>
      </c>
      <c r="E10" s="44">
        <f>E11+E44+E45</f>
        <v>260079.57628700006</v>
      </c>
      <c r="F10" s="44">
        <f>F11+F44+F45</f>
        <v>174246.736458</v>
      </c>
      <c r="G10" s="43">
        <f>E10/C10*100</f>
        <v>173.12093209545367</v>
      </c>
      <c r="H10" s="43">
        <f>F10/D10*100</f>
        <v>213.33635718500923</v>
      </c>
    </row>
    <row r="11" spans="1:11" x14ac:dyDescent="0.25">
      <c r="A11" s="13" t="s">
        <v>2</v>
      </c>
      <c r="B11" s="2" t="s">
        <v>98</v>
      </c>
      <c r="C11" s="41">
        <f>C12+C43</f>
        <v>150230</v>
      </c>
      <c r="D11" s="41">
        <f>D12+D43</f>
        <v>81677</v>
      </c>
      <c r="E11" s="45">
        <f>E12+E43</f>
        <v>184490.04757100006</v>
      </c>
      <c r="F11" s="45">
        <f>F12+F43</f>
        <v>98657.207741999999</v>
      </c>
      <c r="G11" s="43">
        <f t="shared" ref="G11:G41" si="0">E11/C11*100</f>
        <v>122.80506394927781</v>
      </c>
      <c r="H11" s="43">
        <f t="shared" ref="H11:H41" si="1">F11/D11*100</f>
        <v>120.78946060947391</v>
      </c>
    </row>
    <row r="12" spans="1:11" x14ac:dyDescent="0.25">
      <c r="A12" s="13" t="s">
        <v>4</v>
      </c>
      <c r="B12" s="2" t="s">
        <v>29</v>
      </c>
      <c r="C12" s="41">
        <f>C13+C18+C22+C30+C31+C32+C33+C34+C35+C36+C37+C38+C39+C40+C41+C42</f>
        <v>150230</v>
      </c>
      <c r="D12" s="41">
        <f>D13+D18+D22+D30+D31+D32+D33+D34+D35+D36+D37+D38+D39+D40+D41+D42</f>
        <v>81677</v>
      </c>
      <c r="E12" s="45">
        <f>E13+E18+E22+E30+E31+E32+E33+E34+E35+E36+E37+E38+E39+E40+E41+E42</f>
        <v>174491.37410600006</v>
      </c>
      <c r="F12" s="45">
        <f>F13+F18+F22+F30+F31+F32+F33+F34+F35+F36+F37+F38+F39+F40+F41+F42</f>
        <v>98314.247042999996</v>
      </c>
      <c r="G12" s="43">
        <f t="shared" si="0"/>
        <v>116.14948685748523</v>
      </c>
      <c r="H12" s="43">
        <f t="shared" si="1"/>
        <v>120.36956186319281</v>
      </c>
      <c r="J12" s="47"/>
      <c r="K12" s="48"/>
    </row>
    <row r="13" spans="1:11" x14ac:dyDescent="0.25">
      <c r="A13" s="12">
        <v>1</v>
      </c>
      <c r="B13" s="3" t="s">
        <v>99</v>
      </c>
      <c r="C13" s="39">
        <f>SUM(C14:C16)</f>
        <v>350</v>
      </c>
      <c r="D13" s="39">
        <f>SUM(D14:D16)</f>
        <v>35</v>
      </c>
      <c r="E13" s="46">
        <f>SUM(E14:E17)</f>
        <v>336.986085</v>
      </c>
      <c r="F13" s="46">
        <f>SUM(F14:F17)</f>
        <v>33.318680000000001</v>
      </c>
      <c r="G13" s="38">
        <f t="shared" si="0"/>
        <v>96.281738571428576</v>
      </c>
      <c r="H13" s="38">
        <f t="shared" si="1"/>
        <v>95.196228571428577</v>
      </c>
      <c r="K13" s="25"/>
    </row>
    <row r="14" spans="1:11" x14ac:dyDescent="0.25">
      <c r="A14" s="12"/>
      <c r="B14" s="9" t="s">
        <v>116</v>
      </c>
      <c r="C14" s="39">
        <v>260</v>
      </c>
      <c r="D14" s="39">
        <v>26</v>
      </c>
      <c r="E14" s="46">
        <v>273.19023600000003</v>
      </c>
      <c r="F14" s="46">
        <v>27.319032</v>
      </c>
      <c r="G14" s="38">
        <f t="shared" si="0"/>
        <v>105.07316769230771</v>
      </c>
      <c r="H14" s="38">
        <f t="shared" si="1"/>
        <v>105.0732</v>
      </c>
    </row>
    <row r="15" spans="1:11" x14ac:dyDescent="0.25">
      <c r="A15" s="12"/>
      <c r="B15" s="9" t="s">
        <v>117</v>
      </c>
      <c r="C15" s="39">
        <v>90</v>
      </c>
      <c r="D15" s="39">
        <v>9</v>
      </c>
      <c r="E15" s="46">
        <v>59.757997000000003</v>
      </c>
      <c r="F15" s="46">
        <v>5.9758009999999997</v>
      </c>
      <c r="G15" s="38">
        <f t="shared" si="0"/>
        <v>66.397774444444451</v>
      </c>
      <c r="H15" s="38">
        <f t="shared" si="1"/>
        <v>66.397788888888883</v>
      </c>
    </row>
    <row r="16" spans="1:11" x14ac:dyDescent="0.25">
      <c r="A16" s="12"/>
      <c r="B16" s="9" t="s">
        <v>118</v>
      </c>
      <c r="C16" s="39"/>
      <c r="D16" s="39"/>
      <c r="E16" s="46">
        <v>4.037852</v>
      </c>
      <c r="F16" s="46">
        <v>2.3847E-2</v>
      </c>
      <c r="G16" s="38"/>
      <c r="H16" s="38"/>
    </row>
    <row r="17" spans="1:8" x14ac:dyDescent="0.25">
      <c r="A17" s="12"/>
      <c r="B17" s="9" t="s">
        <v>120</v>
      </c>
      <c r="C17" s="39"/>
      <c r="D17" s="39"/>
      <c r="E17" s="46"/>
      <c r="F17" s="46"/>
      <c r="G17" s="38"/>
      <c r="H17" s="38"/>
    </row>
    <row r="18" spans="1:8" x14ac:dyDescent="0.25">
      <c r="A18" s="12">
        <v>2</v>
      </c>
      <c r="B18" s="3" t="s">
        <v>30</v>
      </c>
      <c r="C18" s="39">
        <f>SUM(C19:C21)</f>
        <v>6320</v>
      </c>
      <c r="D18" s="39">
        <f>SUM(D19:D21)</f>
        <v>668</v>
      </c>
      <c r="E18" s="46">
        <f>SUM(E19:E21)</f>
        <v>11611.128153</v>
      </c>
      <c r="F18" s="46">
        <f t="shared" ref="F18" si="2">SUM(F19:F21)</f>
        <v>1152.334419</v>
      </c>
      <c r="G18" s="38"/>
      <c r="H18" s="38"/>
    </row>
    <row r="19" spans="1:8" x14ac:dyDescent="0.25">
      <c r="A19" s="12"/>
      <c r="B19" s="9" t="s">
        <v>116</v>
      </c>
      <c r="C19" s="39">
        <v>5250</v>
      </c>
      <c r="D19" s="39">
        <v>525</v>
      </c>
      <c r="E19" s="46">
        <v>11159.156385</v>
      </c>
      <c r="F19" s="46">
        <v>1115.959546</v>
      </c>
      <c r="G19" s="38"/>
      <c r="H19" s="38"/>
    </row>
    <row r="20" spans="1:8" x14ac:dyDescent="0.25">
      <c r="A20" s="12"/>
      <c r="B20" s="9" t="s">
        <v>117</v>
      </c>
      <c r="C20" s="39">
        <v>1030</v>
      </c>
      <c r="D20" s="39">
        <v>103</v>
      </c>
      <c r="E20" s="46">
        <v>363.542372</v>
      </c>
      <c r="F20" s="46">
        <v>36.354241000000002</v>
      </c>
      <c r="G20" s="38"/>
      <c r="H20" s="38"/>
    </row>
    <row r="21" spans="1:8" x14ac:dyDescent="0.25">
      <c r="A21" s="12"/>
      <c r="B21" s="9" t="s">
        <v>163</v>
      </c>
      <c r="C21" s="39">
        <v>40</v>
      </c>
      <c r="D21" s="39">
        <v>40</v>
      </c>
      <c r="E21" s="62">
        <v>88.429395999999997</v>
      </c>
      <c r="F21" s="62">
        <v>2.0632000000000001E-2</v>
      </c>
      <c r="G21" s="63"/>
      <c r="H21" s="63"/>
    </row>
    <row r="22" spans="1:8" x14ac:dyDescent="0.25">
      <c r="A22" s="12">
        <v>3</v>
      </c>
      <c r="B22" s="3" t="s">
        <v>31</v>
      </c>
      <c r="C22" s="39">
        <f>SUM(C23:C29)</f>
        <v>47410</v>
      </c>
      <c r="D22" s="39">
        <f t="shared" ref="D22:F22" si="3">SUM(D23:D29)</f>
        <v>40854</v>
      </c>
      <c r="E22" s="46">
        <f t="shared" si="3"/>
        <v>58638.554767000001</v>
      </c>
      <c r="F22" s="46">
        <f t="shared" si="3"/>
        <v>50426.188899000001</v>
      </c>
      <c r="G22" s="38">
        <f t="shared" si="0"/>
        <v>123.6839374963088</v>
      </c>
      <c r="H22" s="38">
        <f t="shared" si="1"/>
        <v>123.43023669408137</v>
      </c>
    </row>
    <row r="23" spans="1:8" x14ac:dyDescent="0.25">
      <c r="A23" s="12"/>
      <c r="B23" s="9" t="s">
        <v>121</v>
      </c>
      <c r="C23" s="39">
        <v>36710</v>
      </c>
      <c r="D23" s="39">
        <v>33039</v>
      </c>
      <c r="E23" s="46">
        <v>44449.823044999997</v>
      </c>
      <c r="F23" s="46">
        <v>40004.841107</v>
      </c>
      <c r="G23" s="38">
        <f t="shared" si="0"/>
        <v>121.08369121492781</v>
      </c>
      <c r="H23" s="38">
        <f t="shared" si="1"/>
        <v>121.08369232422289</v>
      </c>
    </row>
    <row r="24" spans="1:8" x14ac:dyDescent="0.25">
      <c r="A24" s="12"/>
      <c r="B24" s="9" t="s">
        <v>117</v>
      </c>
      <c r="C24" s="39">
        <v>650</v>
      </c>
      <c r="D24" s="39">
        <v>585</v>
      </c>
      <c r="E24" s="46">
        <v>251.166056</v>
      </c>
      <c r="F24" s="46">
        <v>226.04947799999999</v>
      </c>
      <c r="G24" s="38">
        <f t="shared" si="0"/>
        <v>38.640931692307689</v>
      </c>
      <c r="H24" s="38">
        <f t="shared" si="1"/>
        <v>38.640936410256408</v>
      </c>
    </row>
    <row r="25" spans="1:8" x14ac:dyDescent="0.25">
      <c r="A25" s="12"/>
      <c r="B25" s="9" t="s">
        <v>122</v>
      </c>
      <c r="C25" s="39">
        <v>100</v>
      </c>
      <c r="D25" s="39">
        <v>100</v>
      </c>
      <c r="E25" s="46">
        <v>54.172266999999998</v>
      </c>
      <c r="F25" s="46">
        <v>54.172266999999998</v>
      </c>
      <c r="G25" s="38">
        <f t="shared" si="0"/>
        <v>54.172266999999998</v>
      </c>
      <c r="H25" s="38">
        <f t="shared" si="1"/>
        <v>54.172266999999998</v>
      </c>
    </row>
    <row r="26" spans="1:8" x14ac:dyDescent="0.25">
      <c r="A26" s="12"/>
      <c r="B26" s="9" t="s">
        <v>118</v>
      </c>
      <c r="C26" s="39">
        <v>9950</v>
      </c>
      <c r="D26" s="39">
        <v>7130</v>
      </c>
      <c r="E26" s="46">
        <v>13883.393399</v>
      </c>
      <c r="F26" s="46">
        <v>10141.126047</v>
      </c>
      <c r="G26" s="38">
        <f t="shared" si="0"/>
        <v>139.53159194974876</v>
      </c>
      <c r="H26" s="38">
        <f t="shared" si="1"/>
        <v>142.23178186535762</v>
      </c>
    </row>
    <row r="27" spans="1:8" x14ac:dyDescent="0.25">
      <c r="A27" s="12"/>
      <c r="B27" s="9" t="s">
        <v>119</v>
      </c>
      <c r="C27" s="39"/>
      <c r="D27" s="39"/>
      <c r="E27" s="46"/>
      <c r="F27" s="46"/>
      <c r="G27" s="38"/>
      <c r="H27" s="38"/>
    </row>
    <row r="28" spans="1:8" x14ac:dyDescent="0.25">
      <c r="A28" s="12"/>
      <c r="B28" s="9" t="s">
        <v>120</v>
      </c>
      <c r="C28" s="39"/>
      <c r="D28" s="39"/>
      <c r="E28" s="46"/>
      <c r="F28" s="46"/>
      <c r="G28" s="38"/>
      <c r="H28" s="38"/>
    </row>
    <row r="29" spans="1:8" x14ac:dyDescent="0.25">
      <c r="A29" s="12"/>
      <c r="B29" s="9" t="s">
        <v>123</v>
      </c>
      <c r="C29" s="39"/>
      <c r="D29" s="39"/>
      <c r="E29" s="46"/>
      <c r="F29" s="46"/>
      <c r="G29" s="38"/>
      <c r="H29" s="38"/>
    </row>
    <row r="30" spans="1:8" x14ac:dyDescent="0.25">
      <c r="A30" s="12">
        <v>4</v>
      </c>
      <c r="B30" s="3" t="s">
        <v>32</v>
      </c>
      <c r="C30" s="39">
        <v>7100</v>
      </c>
      <c r="D30" s="39">
        <v>6390</v>
      </c>
      <c r="E30" s="46">
        <v>9845.3734069999991</v>
      </c>
      <c r="F30" s="46">
        <v>8860.8365460000005</v>
      </c>
      <c r="G30" s="38">
        <f t="shared" si="0"/>
        <v>138.66723108450702</v>
      </c>
      <c r="H30" s="38">
        <f t="shared" si="1"/>
        <v>138.66723859154931</v>
      </c>
    </row>
    <row r="31" spans="1:8" x14ac:dyDescent="0.25">
      <c r="A31" s="12">
        <v>5</v>
      </c>
      <c r="B31" s="3" t="s">
        <v>33</v>
      </c>
      <c r="C31" s="39">
        <v>51000</v>
      </c>
      <c r="D31" s="39"/>
      <c r="E31" s="46">
        <v>49759.040977999997</v>
      </c>
      <c r="F31" s="46">
        <v>0</v>
      </c>
      <c r="G31" s="38">
        <f t="shared" si="0"/>
        <v>97.566747015686275</v>
      </c>
      <c r="H31" s="38"/>
    </row>
    <row r="32" spans="1:8" x14ac:dyDescent="0.25">
      <c r="A32" s="12">
        <v>6</v>
      </c>
      <c r="B32" s="3" t="s">
        <v>34</v>
      </c>
      <c r="C32" s="39">
        <v>7140</v>
      </c>
      <c r="D32" s="39">
        <v>7140</v>
      </c>
      <c r="E32" s="46">
        <v>11463.84779</v>
      </c>
      <c r="F32" s="46">
        <v>11463.84779</v>
      </c>
      <c r="G32" s="38">
        <f t="shared" si="0"/>
        <v>160.55809229691877</v>
      </c>
      <c r="H32" s="38">
        <f t="shared" si="1"/>
        <v>160.55809229691877</v>
      </c>
    </row>
    <row r="33" spans="1:8" x14ac:dyDescent="0.25">
      <c r="A33" s="12">
        <v>7</v>
      </c>
      <c r="B33" s="3" t="s">
        <v>35</v>
      </c>
      <c r="C33" s="39">
        <v>3040</v>
      </c>
      <c r="D33" s="39">
        <v>3040</v>
      </c>
      <c r="E33" s="46">
        <v>3163.214176</v>
      </c>
      <c r="F33" s="46">
        <v>2178.874773</v>
      </c>
      <c r="G33" s="38">
        <f t="shared" si="0"/>
        <v>104.05309789473685</v>
      </c>
      <c r="H33" s="38">
        <f t="shared" si="1"/>
        <v>71.673512269736833</v>
      </c>
    </row>
    <row r="34" spans="1:8" x14ac:dyDescent="0.25">
      <c r="A34" s="12">
        <v>8</v>
      </c>
      <c r="B34" s="3" t="s">
        <v>36</v>
      </c>
      <c r="C34" s="39"/>
      <c r="D34" s="39"/>
      <c r="E34" s="46"/>
      <c r="F34" s="46"/>
      <c r="G34" s="38"/>
      <c r="H34" s="38"/>
    </row>
    <row r="35" spans="1:8" x14ac:dyDescent="0.25">
      <c r="A35" s="12">
        <v>9</v>
      </c>
      <c r="B35" s="3" t="s">
        <v>37</v>
      </c>
      <c r="C35" s="39">
        <v>200</v>
      </c>
      <c r="D35" s="39">
        <v>200</v>
      </c>
      <c r="E35" s="46">
        <v>148.510718</v>
      </c>
      <c r="F35" s="46">
        <v>148.510718</v>
      </c>
      <c r="G35" s="38">
        <f t="shared" si="0"/>
        <v>74.255358999999999</v>
      </c>
      <c r="H35" s="38">
        <f t="shared" si="1"/>
        <v>74.255358999999999</v>
      </c>
    </row>
    <row r="36" spans="1:8" x14ac:dyDescent="0.25">
      <c r="A36" s="12">
        <v>10</v>
      </c>
      <c r="B36" s="3" t="s">
        <v>38</v>
      </c>
      <c r="C36" s="39">
        <v>2400</v>
      </c>
      <c r="D36" s="39">
        <v>1920</v>
      </c>
      <c r="E36" s="46">
        <v>2797.6303290000001</v>
      </c>
      <c r="F36" s="46">
        <v>2238.1042830000001</v>
      </c>
      <c r="G36" s="38">
        <f t="shared" si="0"/>
        <v>116.56793037499999</v>
      </c>
      <c r="H36" s="38">
        <f t="shared" si="1"/>
        <v>116.56793140625001</v>
      </c>
    </row>
    <row r="37" spans="1:8" x14ac:dyDescent="0.25">
      <c r="A37" s="12">
        <v>11</v>
      </c>
      <c r="B37" s="3" t="s">
        <v>39</v>
      </c>
      <c r="C37" s="39">
        <v>21000</v>
      </c>
      <c r="D37" s="39">
        <v>18480</v>
      </c>
      <c r="E37" s="46">
        <v>23044.544155</v>
      </c>
      <c r="F37" s="46">
        <v>20931.413901</v>
      </c>
      <c r="G37" s="38">
        <f t="shared" si="0"/>
        <v>109.73592454761905</v>
      </c>
      <c r="H37" s="38">
        <f t="shared" si="1"/>
        <v>113.26522673701298</v>
      </c>
    </row>
    <row r="38" spans="1:8" x14ac:dyDescent="0.25">
      <c r="A38" s="12">
        <v>12</v>
      </c>
      <c r="B38" s="3" t="s">
        <v>124</v>
      </c>
      <c r="C38" s="39"/>
      <c r="D38" s="39"/>
      <c r="E38" s="46"/>
      <c r="F38" s="46"/>
      <c r="G38" s="38"/>
      <c r="H38" s="38"/>
    </row>
    <row r="39" spans="1:8" x14ac:dyDescent="0.25">
      <c r="A39" s="12">
        <v>13</v>
      </c>
      <c r="B39" s="3" t="s">
        <v>125</v>
      </c>
      <c r="C39" s="39"/>
      <c r="D39" s="39"/>
      <c r="E39" s="46"/>
      <c r="F39" s="46"/>
      <c r="G39" s="38"/>
      <c r="H39" s="38"/>
    </row>
    <row r="40" spans="1:8" x14ac:dyDescent="0.25">
      <c r="A40" s="12">
        <v>14</v>
      </c>
      <c r="B40" s="3" t="s">
        <v>40</v>
      </c>
      <c r="C40" s="39">
        <v>1100</v>
      </c>
      <c r="D40" s="39">
        <v>980</v>
      </c>
      <c r="E40" s="46">
        <v>1394.2805980000001</v>
      </c>
      <c r="F40" s="46">
        <v>353.52044999999998</v>
      </c>
      <c r="G40" s="38"/>
      <c r="H40" s="38"/>
    </row>
    <row r="41" spans="1:8" x14ac:dyDescent="0.25">
      <c r="A41" s="12">
        <v>15</v>
      </c>
      <c r="B41" s="3" t="s">
        <v>41</v>
      </c>
      <c r="C41" s="39">
        <v>3100</v>
      </c>
      <c r="D41" s="39">
        <v>1900</v>
      </c>
      <c r="E41" s="46">
        <v>2288.2629499999998</v>
      </c>
      <c r="F41" s="46">
        <v>527.29658400000005</v>
      </c>
      <c r="G41" s="38">
        <f t="shared" si="0"/>
        <v>73.814933870967735</v>
      </c>
      <c r="H41" s="38">
        <f t="shared" si="1"/>
        <v>27.752451789473685</v>
      </c>
    </row>
    <row r="42" spans="1:8" x14ac:dyDescent="0.25">
      <c r="A42" s="12">
        <v>16</v>
      </c>
      <c r="B42" s="3" t="s">
        <v>210</v>
      </c>
      <c r="C42" s="39">
        <v>70</v>
      </c>
      <c r="D42" s="39">
        <v>70</v>
      </c>
      <c r="E42" s="46"/>
      <c r="F42" s="46"/>
      <c r="G42" s="38"/>
      <c r="H42" s="38"/>
    </row>
    <row r="43" spans="1:8" x14ac:dyDescent="0.25">
      <c r="A43" s="13" t="s">
        <v>9</v>
      </c>
      <c r="B43" s="2" t="s">
        <v>126</v>
      </c>
      <c r="C43" s="39"/>
      <c r="D43" s="39"/>
      <c r="E43" s="45">
        <v>9998.6734649999999</v>
      </c>
      <c r="F43" s="45">
        <v>342.96069899999998</v>
      </c>
      <c r="G43" s="39"/>
      <c r="H43" s="39"/>
    </row>
    <row r="44" spans="1:8" x14ac:dyDescent="0.25">
      <c r="A44" s="13" t="s">
        <v>16</v>
      </c>
      <c r="B44" s="2" t="s">
        <v>100</v>
      </c>
      <c r="C44" s="39"/>
      <c r="D44" s="39"/>
      <c r="E44" s="45">
        <v>3053.016157</v>
      </c>
      <c r="F44" s="45">
        <v>3053.016157</v>
      </c>
      <c r="G44" s="39"/>
      <c r="H44" s="39"/>
    </row>
    <row r="45" spans="1:8" ht="33" x14ac:dyDescent="0.25">
      <c r="A45" s="4" t="s">
        <v>52</v>
      </c>
      <c r="B45" s="5" t="s">
        <v>101</v>
      </c>
      <c r="C45" s="40"/>
      <c r="D45" s="40"/>
      <c r="E45" s="49">
        <v>72536.512558999995</v>
      </c>
      <c r="F45" s="49">
        <v>72536.512558999995</v>
      </c>
      <c r="G45" s="40"/>
      <c r="H45" s="40"/>
    </row>
  </sheetData>
  <mergeCells count="10">
    <mergeCell ref="D1:E1"/>
    <mergeCell ref="F1:H1"/>
    <mergeCell ref="A7:A8"/>
    <mergeCell ref="B7:B8"/>
    <mergeCell ref="C7:D7"/>
    <mergeCell ref="E7:F7"/>
    <mergeCell ref="G7:H7"/>
    <mergeCell ref="A4:H4"/>
    <mergeCell ref="A5:H5"/>
    <mergeCell ref="F6:H6"/>
  </mergeCells>
  <pageMargins left="0.66" right="0.28000000000000003" top="0.75" bottom="0.75" header="0.3" footer="0.3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60" workbookViewId="0">
      <selection activeCell="D23" sqref="D23"/>
    </sheetView>
  </sheetViews>
  <sheetFormatPr defaultColWidth="9.140625" defaultRowHeight="16.5" x14ac:dyDescent="0.25"/>
  <cols>
    <col min="1" max="1" width="5.5703125" style="1" customWidth="1"/>
    <col min="2" max="2" width="44" style="1" customWidth="1"/>
    <col min="3" max="4" width="10.7109375" style="1" bestFit="1" customWidth="1"/>
    <col min="5" max="5" width="9.42578125" style="1" bestFit="1" customWidth="1"/>
    <col min="6" max="6" width="17" style="1" customWidth="1"/>
    <col min="7" max="7" width="15.85546875" style="1" bestFit="1" customWidth="1"/>
    <col min="8" max="8" width="14" style="1" bestFit="1" customWidth="1"/>
    <col min="9" max="11" width="9.42578125" style="1" bestFit="1" customWidth="1"/>
    <col min="12" max="16384" width="9.140625" style="1"/>
  </cols>
  <sheetData>
    <row r="1" spans="1:11" ht="18" customHeight="1" x14ac:dyDescent="0.25">
      <c r="A1" s="7" t="s">
        <v>92</v>
      </c>
      <c r="B1" s="8"/>
      <c r="C1" s="8"/>
      <c r="D1" s="220"/>
      <c r="E1" s="220"/>
      <c r="I1" s="220" t="s">
        <v>110</v>
      </c>
      <c r="J1" s="220"/>
      <c r="K1" s="220"/>
    </row>
    <row r="2" spans="1:11" ht="18" customHeight="1" x14ac:dyDescent="0.25">
      <c r="A2" s="7" t="s">
        <v>93</v>
      </c>
      <c r="B2" s="8"/>
      <c r="C2" s="8"/>
      <c r="D2" s="18"/>
      <c r="E2" s="18"/>
    </row>
    <row r="3" spans="1:11" ht="8.25" customHeight="1" x14ac:dyDescent="0.25"/>
    <row r="4" spans="1:11" ht="18.75" x14ac:dyDescent="0.3">
      <c r="A4" s="217" t="s">
        <v>214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x14ac:dyDescent="0.25">
      <c r="A5" s="218" t="str">
        <f>'96'!A5:E5</f>
        <v>(Kèm theo Quyết định số        /QĐ-UBND ngày      tháng 7 năm 2022 của UBND huyện Đăk Hà)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7.25" x14ac:dyDescent="0.3">
      <c r="A6" s="17"/>
      <c r="I6" s="222" t="s">
        <v>0</v>
      </c>
      <c r="J6" s="222"/>
      <c r="K6" s="222"/>
    </row>
    <row r="7" spans="1:11" x14ac:dyDescent="0.25">
      <c r="A7" s="221" t="s">
        <v>1</v>
      </c>
      <c r="B7" s="221" t="s">
        <v>42</v>
      </c>
      <c r="C7" s="221" t="s">
        <v>94</v>
      </c>
      <c r="D7" s="221" t="s">
        <v>103</v>
      </c>
      <c r="E7" s="221"/>
      <c r="F7" s="221" t="s">
        <v>84</v>
      </c>
      <c r="G7" s="221" t="s">
        <v>103</v>
      </c>
      <c r="H7" s="221"/>
      <c r="I7" s="221" t="s">
        <v>86</v>
      </c>
      <c r="J7" s="221"/>
      <c r="K7" s="221"/>
    </row>
    <row r="8" spans="1:11" ht="66" x14ac:dyDescent="0.25">
      <c r="A8" s="221"/>
      <c r="B8" s="221"/>
      <c r="C8" s="221"/>
      <c r="D8" s="15" t="s">
        <v>44</v>
      </c>
      <c r="E8" s="15" t="s">
        <v>54</v>
      </c>
      <c r="F8" s="221"/>
      <c r="G8" s="15" t="s">
        <v>44</v>
      </c>
      <c r="H8" s="15" t="s">
        <v>54</v>
      </c>
      <c r="I8" s="15" t="s">
        <v>43</v>
      </c>
      <c r="J8" s="15" t="s">
        <v>44</v>
      </c>
      <c r="K8" s="15" t="s">
        <v>104</v>
      </c>
    </row>
    <row r="9" spans="1:11" x14ac:dyDescent="0.25">
      <c r="A9" s="16" t="s">
        <v>2</v>
      </c>
      <c r="B9" s="16" t="s">
        <v>16</v>
      </c>
      <c r="C9" s="16" t="s">
        <v>83</v>
      </c>
      <c r="D9" s="16">
        <v>2</v>
      </c>
      <c r="E9" s="16">
        <v>3</v>
      </c>
      <c r="F9" s="16" t="s">
        <v>105</v>
      </c>
      <c r="G9" s="16">
        <v>5</v>
      </c>
      <c r="H9" s="16">
        <v>6</v>
      </c>
      <c r="I9" s="16" t="s">
        <v>106</v>
      </c>
      <c r="J9" s="16" t="s">
        <v>107</v>
      </c>
      <c r="K9" s="16" t="s">
        <v>108</v>
      </c>
    </row>
    <row r="10" spans="1:11" x14ac:dyDescent="0.25">
      <c r="A10" s="14"/>
      <c r="B10" s="14" t="s">
        <v>17</v>
      </c>
      <c r="C10" s="21">
        <f>C11+C32+C68</f>
        <v>395691</v>
      </c>
      <c r="D10" s="21">
        <f>D11+D32+D68</f>
        <v>349619</v>
      </c>
      <c r="E10" s="21">
        <f>E11+E32+E68</f>
        <v>46072</v>
      </c>
      <c r="F10" s="27">
        <f>F11+F32+F68+F69</f>
        <v>510836.25580799999</v>
      </c>
      <c r="G10" s="27">
        <f>G11+G32+G68+G69</f>
        <v>450899.17123700003</v>
      </c>
      <c r="H10" s="27">
        <f>H11+H32+H68+H69</f>
        <v>59937.084571000007</v>
      </c>
      <c r="I10" s="19">
        <f>F10/C10*100</f>
        <v>129.09979145545387</v>
      </c>
      <c r="J10" s="19">
        <f>G10/D10*100</f>
        <v>128.96872630978297</v>
      </c>
      <c r="K10" s="19"/>
    </row>
    <row r="11" spans="1:11" x14ac:dyDescent="0.25">
      <c r="A11" s="13" t="s">
        <v>2</v>
      </c>
      <c r="B11" s="2" t="s">
        <v>45</v>
      </c>
      <c r="C11" s="23">
        <f t="shared" ref="C11:H11" si="0">C12+C26+C30+C31</f>
        <v>363148</v>
      </c>
      <c r="D11" s="23">
        <f t="shared" si="0"/>
        <v>319521</v>
      </c>
      <c r="E11" s="23">
        <f t="shared" si="0"/>
        <v>43627</v>
      </c>
      <c r="F11" s="29">
        <f>F12+F26+F30+F31</f>
        <v>404701.05300399999</v>
      </c>
      <c r="G11" s="29">
        <f t="shared" si="0"/>
        <v>350773.96502100001</v>
      </c>
      <c r="H11" s="29">
        <f t="shared" si="0"/>
        <v>53927.087983000005</v>
      </c>
      <c r="I11" s="19">
        <f t="shared" ref="I11:I29" si="1">F11/C11*100</f>
        <v>111.44245679557645</v>
      </c>
      <c r="J11" s="19">
        <f t="shared" ref="J11:J29" si="2">G11/D11*100</f>
        <v>109.78119279202305</v>
      </c>
      <c r="K11" s="19"/>
    </row>
    <row r="12" spans="1:11" x14ac:dyDescent="0.25">
      <c r="A12" s="13" t="s">
        <v>4</v>
      </c>
      <c r="B12" s="2" t="s">
        <v>19</v>
      </c>
      <c r="C12" s="23">
        <f>SUM(D12:E12)</f>
        <v>42905</v>
      </c>
      <c r="D12" s="23">
        <f>D13+D24+D25</f>
        <v>42905</v>
      </c>
      <c r="E12" s="23">
        <f>E13+E24+E25</f>
        <v>0</v>
      </c>
      <c r="F12" s="53">
        <f>F13+F24+F25</f>
        <v>73769.319015999994</v>
      </c>
      <c r="G12" s="53">
        <f>G13+G24+G25</f>
        <v>72887.636622000005</v>
      </c>
      <c r="H12" s="53">
        <f>H13+H24+H25</f>
        <v>881.68239400000004</v>
      </c>
      <c r="I12" s="19">
        <f t="shared" si="1"/>
        <v>171.93641537349959</v>
      </c>
      <c r="J12" s="19">
        <f t="shared" si="2"/>
        <v>169.8814511642</v>
      </c>
      <c r="K12" s="19"/>
    </row>
    <row r="13" spans="1:11" s="69" customFormat="1" ht="33" x14ac:dyDescent="0.25">
      <c r="A13" s="64">
        <v>1</v>
      </c>
      <c r="B13" s="65" t="s">
        <v>164</v>
      </c>
      <c r="C13" s="23">
        <f>SUM(C14:C23)</f>
        <v>23425</v>
      </c>
      <c r="D13" s="23">
        <f t="shared" ref="D13:H13" si="3">SUM(D14:D23)</f>
        <v>23425</v>
      </c>
      <c r="E13" s="23">
        <f t="shared" si="3"/>
        <v>0</v>
      </c>
      <c r="F13" s="53">
        <f>SUM(F14:F23)</f>
        <v>73769.319015999994</v>
      </c>
      <c r="G13" s="53">
        <f>SUM(G14:G23)</f>
        <v>72887.636622000005</v>
      </c>
      <c r="H13" s="53">
        <f t="shared" si="3"/>
        <v>881.68239400000004</v>
      </c>
      <c r="I13" s="19"/>
      <c r="J13" s="19"/>
      <c r="K13" s="19"/>
    </row>
    <row r="14" spans="1:11" x14ac:dyDescent="0.25">
      <c r="A14" s="66"/>
      <c r="B14" s="67" t="s">
        <v>165</v>
      </c>
      <c r="C14" s="22">
        <f>SUM(D14:E14)</f>
        <v>5800</v>
      </c>
      <c r="D14" s="22">
        <v>5800</v>
      </c>
      <c r="E14" s="22"/>
      <c r="F14" s="28">
        <f>SUM(G14:H14)</f>
        <v>12043.340297000001</v>
      </c>
      <c r="G14" s="98">
        <v>12043.340297000001</v>
      </c>
      <c r="H14" s="98"/>
      <c r="I14" s="50"/>
      <c r="J14" s="50"/>
      <c r="K14" s="50"/>
    </row>
    <row r="15" spans="1:11" x14ac:dyDescent="0.25">
      <c r="A15" s="66"/>
      <c r="B15" s="67" t="s">
        <v>59</v>
      </c>
      <c r="C15" s="22"/>
      <c r="D15" s="22"/>
      <c r="E15" s="22"/>
      <c r="F15" s="28">
        <f>SUM(G15:H15)</f>
        <v>40.424480000000003</v>
      </c>
      <c r="G15" s="98">
        <v>40.424480000000003</v>
      </c>
      <c r="H15" s="98"/>
      <c r="I15" s="50"/>
      <c r="J15" s="50"/>
      <c r="K15" s="50"/>
    </row>
    <row r="16" spans="1:11" x14ac:dyDescent="0.25">
      <c r="A16" s="66"/>
      <c r="B16" s="67" t="s">
        <v>48</v>
      </c>
      <c r="C16" s="22">
        <f t="shared" ref="C16:C25" si="4">SUM(D16:E16)</f>
        <v>0</v>
      </c>
      <c r="D16" s="22"/>
      <c r="E16" s="22"/>
      <c r="F16" s="28">
        <f t="shared" ref="F16:F23" si="5">SUM(G16:H16)</f>
        <v>0</v>
      </c>
      <c r="G16" s="98"/>
      <c r="H16" s="98"/>
      <c r="I16" s="50"/>
      <c r="J16" s="50"/>
      <c r="K16" s="50"/>
    </row>
    <row r="17" spans="1:11" x14ac:dyDescent="0.25">
      <c r="A17" s="68"/>
      <c r="B17" s="67" t="s">
        <v>166</v>
      </c>
      <c r="C17" s="22">
        <f t="shared" si="4"/>
        <v>300</v>
      </c>
      <c r="D17" s="22">
        <v>300</v>
      </c>
      <c r="E17" s="22"/>
      <c r="F17" s="28">
        <f t="shared" si="5"/>
        <v>404.460464</v>
      </c>
      <c r="G17" s="99">
        <v>404.460464</v>
      </c>
      <c r="H17" s="99"/>
      <c r="I17" s="50"/>
      <c r="J17" s="50"/>
      <c r="K17" s="50"/>
    </row>
    <row r="18" spans="1:11" x14ac:dyDescent="0.25">
      <c r="A18" s="66"/>
      <c r="B18" s="67" t="s">
        <v>65</v>
      </c>
      <c r="C18" s="22">
        <f t="shared" si="4"/>
        <v>0</v>
      </c>
      <c r="D18" s="22"/>
      <c r="E18" s="22"/>
      <c r="F18" s="28">
        <f t="shared" si="5"/>
        <v>0</v>
      </c>
      <c r="G18" s="98"/>
      <c r="H18" s="98"/>
      <c r="I18" s="50"/>
      <c r="J18" s="50"/>
      <c r="K18" s="50"/>
    </row>
    <row r="19" spans="1:11" x14ac:dyDescent="0.25">
      <c r="A19" s="66"/>
      <c r="B19" s="67" t="s">
        <v>63</v>
      </c>
      <c r="C19" s="22"/>
      <c r="D19" s="22"/>
      <c r="E19" s="22"/>
      <c r="F19" s="28">
        <f t="shared" si="5"/>
        <v>322.02230600000001</v>
      </c>
      <c r="G19" s="98">
        <v>322.02230600000001</v>
      </c>
      <c r="H19" s="98"/>
      <c r="I19" s="50"/>
      <c r="J19" s="50"/>
      <c r="K19" s="50"/>
    </row>
    <row r="20" spans="1:11" x14ac:dyDescent="0.25">
      <c r="A20" s="66"/>
      <c r="B20" s="67" t="s">
        <v>67</v>
      </c>
      <c r="C20" s="22">
        <f t="shared" si="4"/>
        <v>0</v>
      </c>
      <c r="D20" s="22"/>
      <c r="E20" s="22"/>
      <c r="F20" s="28">
        <f t="shared" si="5"/>
        <v>0</v>
      </c>
      <c r="G20" s="98"/>
      <c r="H20" s="98"/>
      <c r="I20" s="50"/>
      <c r="J20" s="50"/>
      <c r="K20" s="50"/>
    </row>
    <row r="21" spans="1:11" x14ac:dyDescent="0.25">
      <c r="A21" s="66"/>
      <c r="B21" s="67" t="s">
        <v>69</v>
      </c>
      <c r="C21" s="22">
        <f t="shared" si="4"/>
        <v>17325</v>
      </c>
      <c r="D21" s="22">
        <v>17325</v>
      </c>
      <c r="E21" s="22"/>
      <c r="F21" s="28">
        <f t="shared" si="5"/>
        <v>55343.547977999995</v>
      </c>
      <c r="G21" s="98">
        <v>54706.453439999997</v>
      </c>
      <c r="H21" s="98">
        <v>637.09453800000006</v>
      </c>
      <c r="I21" s="50"/>
      <c r="J21" s="50"/>
      <c r="K21" s="50"/>
    </row>
    <row r="22" spans="1:11" ht="33" x14ac:dyDescent="0.25">
      <c r="A22" s="66"/>
      <c r="B22" s="67" t="s">
        <v>167</v>
      </c>
      <c r="C22" s="22">
        <f t="shared" si="4"/>
        <v>0</v>
      </c>
      <c r="D22" s="22"/>
      <c r="E22" s="22"/>
      <c r="F22" s="28">
        <f t="shared" si="5"/>
        <v>5615.5234909999999</v>
      </c>
      <c r="G22" s="98">
        <v>5370.9356349999998</v>
      </c>
      <c r="H22" s="98">
        <v>244.58785599999999</v>
      </c>
      <c r="I22" s="50"/>
      <c r="J22" s="50"/>
      <c r="K22" s="50"/>
    </row>
    <row r="23" spans="1:11" x14ac:dyDescent="0.25">
      <c r="A23" s="66"/>
      <c r="B23" s="67" t="s">
        <v>168</v>
      </c>
      <c r="C23" s="22">
        <f t="shared" si="4"/>
        <v>0</v>
      </c>
      <c r="D23" s="22"/>
      <c r="E23" s="22"/>
      <c r="F23" s="28">
        <f t="shared" si="5"/>
        <v>0</v>
      </c>
      <c r="G23" s="28"/>
      <c r="H23" s="28"/>
      <c r="I23" s="50"/>
      <c r="J23" s="50"/>
      <c r="K23" s="50"/>
    </row>
    <row r="24" spans="1:11" ht="33" x14ac:dyDescent="0.25">
      <c r="A24" s="64">
        <v>2</v>
      </c>
      <c r="B24" s="65" t="s">
        <v>169</v>
      </c>
      <c r="C24" s="22">
        <f t="shared" si="4"/>
        <v>0</v>
      </c>
      <c r="D24" s="22"/>
      <c r="E24" s="22"/>
      <c r="F24" s="28"/>
      <c r="G24" s="28"/>
      <c r="H24" s="28"/>
      <c r="I24" s="50"/>
      <c r="J24" s="50"/>
      <c r="K24" s="50"/>
    </row>
    <row r="25" spans="1:11" s="69" customFormat="1" x14ac:dyDescent="0.25">
      <c r="A25" s="64">
        <v>3</v>
      </c>
      <c r="B25" s="65" t="s">
        <v>49</v>
      </c>
      <c r="C25" s="23">
        <f t="shared" si="4"/>
        <v>19480</v>
      </c>
      <c r="D25" s="23">
        <v>19480</v>
      </c>
      <c r="E25" s="23"/>
      <c r="F25" s="29">
        <f>SUM(G25:H25)</f>
        <v>0</v>
      </c>
      <c r="G25" s="29"/>
      <c r="H25" s="29"/>
      <c r="I25" s="19"/>
      <c r="J25" s="19"/>
      <c r="K25" s="19"/>
    </row>
    <row r="26" spans="1:11" x14ac:dyDescent="0.25">
      <c r="A26" s="13" t="s">
        <v>9</v>
      </c>
      <c r="B26" s="2" t="s">
        <v>20</v>
      </c>
      <c r="C26" s="23">
        <f>SUM(D26:E26)</f>
        <v>313253</v>
      </c>
      <c r="D26" s="23">
        <v>270463</v>
      </c>
      <c r="E26" s="23">
        <v>42790</v>
      </c>
      <c r="F26" s="29">
        <f>SUM(G26:H26)</f>
        <v>330931.73398799996</v>
      </c>
      <c r="G26" s="29">
        <f>331809.616973-G33-G34</f>
        <v>277886.32839899999</v>
      </c>
      <c r="H26" s="29">
        <f>56379.104589-H33-H34</f>
        <v>53045.405589000002</v>
      </c>
      <c r="I26" s="19">
        <f t="shared" si="1"/>
        <v>105.64359606707676</v>
      </c>
      <c r="J26" s="19">
        <f t="shared" si="2"/>
        <v>102.74467428040064</v>
      </c>
      <c r="K26" s="19">
        <f t="shared" ref="K26:K28" si="6">H26/E26*100</f>
        <v>123.9668277377892</v>
      </c>
    </row>
    <row r="27" spans="1:11" x14ac:dyDescent="0.25">
      <c r="A27" s="12"/>
      <c r="B27" s="9" t="s">
        <v>50</v>
      </c>
      <c r="C27" s="22"/>
      <c r="D27" s="22"/>
      <c r="E27" s="22"/>
      <c r="F27" s="28"/>
      <c r="G27" s="28"/>
      <c r="H27" s="28"/>
      <c r="I27" s="50"/>
      <c r="J27" s="50"/>
      <c r="K27" s="50"/>
    </row>
    <row r="28" spans="1:11" x14ac:dyDescent="0.25">
      <c r="A28" s="12">
        <v>1</v>
      </c>
      <c r="B28" s="9" t="s">
        <v>47</v>
      </c>
      <c r="C28" s="22">
        <f>SUM(D28:E28)</f>
        <v>199660</v>
      </c>
      <c r="D28" s="22">
        <v>198681</v>
      </c>
      <c r="E28" s="22">
        <v>979</v>
      </c>
      <c r="F28" s="28">
        <f>SUM(G28:H28)</f>
        <v>240009.04555899999</v>
      </c>
      <c r="G28" s="28">
        <v>239950.04555899999</v>
      </c>
      <c r="H28" s="28">
        <v>59</v>
      </c>
      <c r="I28" s="50">
        <f t="shared" si="1"/>
        <v>120.20887787188219</v>
      </c>
      <c r="J28" s="50">
        <f t="shared" si="2"/>
        <v>120.7715108938449</v>
      </c>
      <c r="K28" s="50">
        <f t="shared" si="6"/>
        <v>6.0265577119509706</v>
      </c>
    </row>
    <row r="29" spans="1:11" x14ac:dyDescent="0.25">
      <c r="A29" s="12">
        <v>2</v>
      </c>
      <c r="B29" s="9" t="s">
        <v>48</v>
      </c>
      <c r="C29" s="22">
        <f>SUM(D29:E29)</f>
        <v>150</v>
      </c>
      <c r="D29" s="22">
        <v>150</v>
      </c>
      <c r="E29" s="22"/>
      <c r="F29" s="28">
        <f>SUM(G29:H29)</f>
        <v>150</v>
      </c>
      <c r="G29" s="28">
        <v>150</v>
      </c>
      <c r="H29" s="28"/>
      <c r="I29" s="50">
        <f t="shared" si="1"/>
        <v>100</v>
      </c>
      <c r="J29" s="50">
        <f t="shared" si="2"/>
        <v>100</v>
      </c>
      <c r="K29" s="50"/>
    </row>
    <row r="30" spans="1:11" x14ac:dyDescent="0.25">
      <c r="A30" s="13" t="s">
        <v>12</v>
      </c>
      <c r="B30" s="2" t="s">
        <v>21</v>
      </c>
      <c r="C30" s="23">
        <f>SUM(D30:E30)</f>
        <v>6990</v>
      </c>
      <c r="D30" s="23">
        <v>6153</v>
      </c>
      <c r="E30" s="23">
        <v>837</v>
      </c>
      <c r="F30" s="29"/>
      <c r="G30" s="29"/>
      <c r="H30" s="29"/>
      <c r="I30" s="20"/>
      <c r="J30" s="20"/>
      <c r="K30" s="20"/>
    </row>
    <row r="31" spans="1:11" x14ac:dyDescent="0.25">
      <c r="A31" s="13" t="s">
        <v>14</v>
      </c>
      <c r="B31" s="2" t="s">
        <v>22</v>
      </c>
      <c r="C31" s="22"/>
      <c r="D31" s="22"/>
      <c r="E31" s="22"/>
      <c r="F31" s="28"/>
      <c r="G31" s="28"/>
      <c r="H31" s="28"/>
      <c r="I31" s="20"/>
      <c r="J31" s="20"/>
      <c r="K31" s="20"/>
    </row>
    <row r="32" spans="1:11" ht="25.5" customHeight="1" x14ac:dyDescent="0.25">
      <c r="A32" s="13" t="s">
        <v>16</v>
      </c>
      <c r="B32" s="2" t="s">
        <v>51</v>
      </c>
      <c r="C32" s="23">
        <f>C33+C34</f>
        <v>32543</v>
      </c>
      <c r="D32" s="23">
        <f t="shared" ref="D32:E32" si="7">D33+D34</f>
        <v>30098</v>
      </c>
      <c r="E32" s="23">
        <f t="shared" si="7"/>
        <v>2445</v>
      </c>
      <c r="F32" s="29">
        <f>F33+F34</f>
        <v>57256.987573999999</v>
      </c>
      <c r="G32" s="29">
        <f>G33+G34</f>
        <v>53923.288574000006</v>
      </c>
      <c r="H32" s="29">
        <f>H33+H34</f>
        <v>3333.6990000000001</v>
      </c>
      <c r="I32" s="20"/>
      <c r="J32" s="20"/>
      <c r="K32" s="20"/>
    </row>
    <row r="33" spans="1:11" ht="18" customHeight="1" x14ac:dyDescent="0.25">
      <c r="A33" s="13" t="s">
        <v>4</v>
      </c>
      <c r="B33" s="2" t="s">
        <v>24</v>
      </c>
      <c r="C33" s="23">
        <f>SUM(D33:E33)</f>
        <v>0</v>
      </c>
      <c r="D33" s="23"/>
      <c r="E33" s="23"/>
      <c r="F33" s="29">
        <f>SUM(G33:H33)</f>
        <v>587.78332399999999</v>
      </c>
      <c r="G33" s="29">
        <v>587.78332399999999</v>
      </c>
      <c r="H33" s="29"/>
      <c r="I33" s="20"/>
      <c r="J33" s="20"/>
      <c r="K33" s="20"/>
    </row>
    <row r="34" spans="1:11" ht="18" customHeight="1" x14ac:dyDescent="0.25">
      <c r="A34" s="13" t="s">
        <v>9</v>
      </c>
      <c r="B34" s="2" t="s">
        <v>25</v>
      </c>
      <c r="C34" s="23">
        <f>SUM(D34:E34)</f>
        <v>32543</v>
      </c>
      <c r="D34" s="23">
        <f>21541+8557</f>
        <v>30098</v>
      </c>
      <c r="E34" s="23">
        <f>2445</f>
        <v>2445</v>
      </c>
      <c r="F34" s="29">
        <f>SUM(G34:H34)</f>
        <v>56669.204250000003</v>
      </c>
      <c r="G34" s="29">
        <v>53335.505250000002</v>
      </c>
      <c r="H34" s="29">
        <v>3333.6990000000001</v>
      </c>
      <c r="I34" s="20"/>
      <c r="J34" s="20"/>
      <c r="K34" s="20"/>
    </row>
    <row r="35" spans="1:11" hidden="1" x14ac:dyDescent="0.25">
      <c r="A35" s="12"/>
      <c r="B35" s="114"/>
      <c r="C35" s="22">
        <f t="shared" ref="C35:C67" si="8">SUM(D35:E35)</f>
        <v>0</v>
      </c>
      <c r="D35" s="115"/>
      <c r="E35" s="116"/>
      <c r="F35" s="28"/>
      <c r="G35" s="28"/>
      <c r="H35" s="28"/>
      <c r="I35" s="20"/>
      <c r="J35" s="20"/>
      <c r="K35" s="20"/>
    </row>
    <row r="36" spans="1:11" hidden="1" x14ac:dyDescent="0.25">
      <c r="A36" s="12"/>
      <c r="B36" s="114"/>
      <c r="C36" s="22">
        <f t="shared" si="8"/>
        <v>0</v>
      </c>
      <c r="D36" s="115"/>
      <c r="E36" s="116"/>
      <c r="F36" s="28"/>
      <c r="G36" s="28"/>
      <c r="H36" s="28"/>
      <c r="I36" s="20"/>
      <c r="J36" s="20"/>
      <c r="K36" s="20"/>
    </row>
    <row r="37" spans="1:11" hidden="1" x14ac:dyDescent="0.25">
      <c r="A37" s="12"/>
      <c r="B37" s="114"/>
      <c r="C37" s="22">
        <f t="shared" si="8"/>
        <v>0</v>
      </c>
      <c r="D37" s="115"/>
      <c r="E37" s="116"/>
      <c r="F37" s="28"/>
      <c r="G37" s="28"/>
      <c r="H37" s="28"/>
      <c r="I37" s="20"/>
      <c r="J37" s="20"/>
      <c r="K37" s="20"/>
    </row>
    <row r="38" spans="1:11" hidden="1" x14ac:dyDescent="0.25">
      <c r="A38" s="12"/>
      <c r="B38" s="114"/>
      <c r="C38" s="22">
        <f t="shared" si="8"/>
        <v>0</v>
      </c>
      <c r="D38" s="115"/>
      <c r="E38" s="115"/>
      <c r="F38" s="28"/>
      <c r="G38" s="28"/>
      <c r="H38" s="28"/>
      <c r="I38" s="20"/>
      <c r="J38" s="20"/>
      <c r="K38" s="20"/>
    </row>
    <row r="39" spans="1:11" hidden="1" x14ac:dyDescent="0.25">
      <c r="A39" s="12"/>
      <c r="B39" s="114"/>
      <c r="C39" s="22">
        <f t="shared" si="8"/>
        <v>0</v>
      </c>
      <c r="D39" s="115"/>
      <c r="E39" s="115"/>
      <c r="F39" s="28"/>
      <c r="G39" s="28"/>
      <c r="H39" s="28"/>
      <c r="I39" s="20"/>
      <c r="J39" s="20"/>
      <c r="K39" s="20"/>
    </row>
    <row r="40" spans="1:11" hidden="1" x14ac:dyDescent="0.25">
      <c r="A40" s="12"/>
      <c r="B40" s="114"/>
      <c r="C40" s="22">
        <f t="shared" si="8"/>
        <v>0</v>
      </c>
      <c r="D40" s="115"/>
      <c r="E40" s="115"/>
      <c r="F40" s="28"/>
      <c r="G40" s="28"/>
      <c r="H40" s="28"/>
      <c r="I40" s="20"/>
      <c r="J40" s="20"/>
      <c r="K40" s="20"/>
    </row>
    <row r="41" spans="1:11" hidden="1" x14ac:dyDescent="0.25">
      <c r="A41" s="12"/>
      <c r="B41" s="114"/>
      <c r="C41" s="22">
        <f t="shared" si="8"/>
        <v>0</v>
      </c>
      <c r="D41" s="115"/>
      <c r="E41" s="115"/>
      <c r="F41" s="28"/>
      <c r="G41" s="28"/>
      <c r="H41" s="28"/>
      <c r="I41" s="20"/>
      <c r="J41" s="20"/>
      <c r="K41" s="20"/>
    </row>
    <row r="42" spans="1:11" hidden="1" x14ac:dyDescent="0.25">
      <c r="A42" s="12"/>
      <c r="B42" s="114"/>
      <c r="C42" s="22">
        <f t="shared" si="8"/>
        <v>0</v>
      </c>
      <c r="D42" s="115"/>
      <c r="E42" s="115"/>
      <c r="F42" s="28"/>
      <c r="G42" s="28"/>
      <c r="H42" s="28"/>
      <c r="I42" s="20"/>
      <c r="J42" s="20"/>
      <c r="K42" s="20"/>
    </row>
    <row r="43" spans="1:11" hidden="1" x14ac:dyDescent="0.25">
      <c r="A43" s="12"/>
      <c r="B43" s="114"/>
      <c r="C43" s="22">
        <f t="shared" si="8"/>
        <v>0</v>
      </c>
      <c r="D43" s="115"/>
      <c r="E43" s="115"/>
      <c r="F43" s="28"/>
      <c r="G43" s="28"/>
      <c r="H43" s="28"/>
      <c r="I43" s="20"/>
      <c r="J43" s="20"/>
      <c r="K43" s="20"/>
    </row>
    <row r="44" spans="1:11" hidden="1" x14ac:dyDescent="0.25">
      <c r="A44" s="12"/>
      <c r="B44" s="114"/>
      <c r="C44" s="22">
        <f t="shared" si="8"/>
        <v>0</v>
      </c>
      <c r="D44" s="115"/>
      <c r="E44" s="115"/>
      <c r="F44" s="28"/>
      <c r="G44" s="28"/>
      <c r="H44" s="28"/>
      <c r="I44" s="20"/>
      <c r="J44" s="20"/>
      <c r="K44" s="20"/>
    </row>
    <row r="45" spans="1:11" hidden="1" x14ac:dyDescent="0.25">
      <c r="A45" s="12"/>
      <c r="B45" s="114"/>
      <c r="C45" s="22">
        <f t="shared" si="8"/>
        <v>0</v>
      </c>
      <c r="D45" s="115"/>
      <c r="E45" s="115"/>
      <c r="F45" s="28"/>
      <c r="G45" s="28"/>
      <c r="H45" s="28"/>
      <c r="I45" s="20"/>
      <c r="J45" s="20"/>
      <c r="K45" s="20"/>
    </row>
    <row r="46" spans="1:11" hidden="1" x14ac:dyDescent="0.25">
      <c r="A46" s="12"/>
      <c r="B46" s="114"/>
      <c r="C46" s="22">
        <f t="shared" si="8"/>
        <v>0</v>
      </c>
      <c r="D46" s="115"/>
      <c r="E46" s="115"/>
      <c r="F46" s="28"/>
      <c r="G46" s="28"/>
      <c r="H46" s="28"/>
      <c r="I46" s="20"/>
      <c r="J46" s="20"/>
      <c r="K46" s="20"/>
    </row>
    <row r="47" spans="1:11" hidden="1" x14ac:dyDescent="0.25">
      <c r="A47" s="12"/>
      <c r="B47" s="114"/>
      <c r="C47" s="22">
        <f t="shared" si="8"/>
        <v>0</v>
      </c>
      <c r="D47" s="115"/>
      <c r="E47" s="115"/>
      <c r="F47" s="28"/>
      <c r="G47" s="28"/>
      <c r="H47" s="28"/>
      <c r="I47" s="20"/>
      <c r="J47" s="20"/>
      <c r="K47" s="20"/>
    </row>
    <row r="48" spans="1:11" hidden="1" x14ac:dyDescent="0.25">
      <c r="A48" s="12"/>
      <c r="B48" s="114"/>
      <c r="C48" s="22">
        <f t="shared" si="8"/>
        <v>0</v>
      </c>
      <c r="D48" s="115"/>
      <c r="E48" s="115"/>
      <c r="F48" s="28"/>
      <c r="G48" s="28"/>
      <c r="H48" s="28"/>
      <c r="I48" s="20"/>
      <c r="J48" s="20"/>
      <c r="K48" s="20"/>
    </row>
    <row r="49" spans="1:11" hidden="1" x14ac:dyDescent="0.25">
      <c r="A49" s="12"/>
      <c r="B49" s="114"/>
      <c r="C49" s="22">
        <f t="shared" si="8"/>
        <v>0</v>
      </c>
      <c r="D49" s="115"/>
      <c r="E49" s="116"/>
      <c r="F49" s="28"/>
      <c r="G49" s="28"/>
      <c r="H49" s="28"/>
      <c r="I49" s="20"/>
      <c r="J49" s="20"/>
      <c r="K49" s="20"/>
    </row>
    <row r="50" spans="1:11" hidden="1" x14ac:dyDescent="0.25">
      <c r="A50" s="12"/>
      <c r="B50" s="114"/>
      <c r="C50" s="22">
        <f t="shared" si="8"/>
        <v>0</v>
      </c>
      <c r="D50" s="115"/>
      <c r="E50" s="116"/>
      <c r="F50" s="28"/>
      <c r="G50" s="28"/>
      <c r="H50" s="28"/>
      <c r="I50" s="20"/>
      <c r="J50" s="20"/>
      <c r="K50" s="20"/>
    </row>
    <row r="51" spans="1:11" hidden="1" x14ac:dyDescent="0.25">
      <c r="A51" s="12"/>
      <c r="B51" s="114"/>
      <c r="C51" s="22">
        <f t="shared" si="8"/>
        <v>0</v>
      </c>
      <c r="D51" s="115"/>
      <c r="E51" s="116"/>
      <c r="F51" s="28"/>
      <c r="G51" s="28"/>
      <c r="H51" s="28"/>
      <c r="I51" s="20"/>
      <c r="J51" s="20"/>
      <c r="K51" s="20"/>
    </row>
    <row r="52" spans="1:11" hidden="1" x14ac:dyDescent="0.25">
      <c r="A52" s="12"/>
      <c r="B52" s="114"/>
      <c r="C52" s="22">
        <f t="shared" si="8"/>
        <v>0</v>
      </c>
      <c r="D52" s="115"/>
      <c r="E52" s="116"/>
      <c r="F52" s="28"/>
      <c r="G52" s="28"/>
      <c r="H52" s="28"/>
      <c r="I52" s="20"/>
      <c r="J52" s="20"/>
      <c r="K52" s="20"/>
    </row>
    <row r="53" spans="1:11" hidden="1" x14ac:dyDescent="0.25">
      <c r="A53" s="12"/>
      <c r="B53" s="114"/>
      <c r="C53" s="22">
        <f t="shared" si="8"/>
        <v>0</v>
      </c>
      <c r="D53" s="115"/>
      <c r="E53" s="115"/>
      <c r="F53" s="28"/>
      <c r="G53" s="28"/>
      <c r="H53" s="28"/>
      <c r="I53" s="20"/>
      <c r="J53" s="20"/>
      <c r="K53" s="20"/>
    </row>
    <row r="54" spans="1:11" hidden="1" x14ac:dyDescent="0.25">
      <c r="A54" s="12"/>
      <c r="B54" s="114"/>
      <c r="C54" s="22">
        <f t="shared" si="8"/>
        <v>0</v>
      </c>
      <c r="D54" s="115"/>
      <c r="E54" s="115"/>
      <c r="F54" s="28"/>
      <c r="G54" s="28"/>
      <c r="H54" s="28"/>
      <c r="I54" s="20"/>
      <c r="J54" s="20"/>
      <c r="K54" s="20"/>
    </row>
    <row r="55" spans="1:11" hidden="1" x14ac:dyDescent="0.25">
      <c r="A55" s="12"/>
      <c r="B55" s="114"/>
      <c r="C55" s="22">
        <f t="shared" si="8"/>
        <v>0</v>
      </c>
      <c r="D55" s="115"/>
      <c r="E55" s="115"/>
      <c r="F55" s="28"/>
      <c r="G55" s="28"/>
      <c r="H55" s="28"/>
      <c r="I55" s="20"/>
      <c r="J55" s="20"/>
      <c r="K55" s="20"/>
    </row>
    <row r="56" spans="1:11" hidden="1" x14ac:dyDescent="0.25">
      <c r="A56" s="12"/>
      <c r="B56" s="114"/>
      <c r="C56" s="22">
        <f t="shared" si="8"/>
        <v>0</v>
      </c>
      <c r="D56" s="115"/>
      <c r="E56" s="115"/>
      <c r="F56" s="28"/>
      <c r="G56" s="28"/>
      <c r="H56" s="28"/>
      <c r="I56" s="20"/>
      <c r="J56" s="20"/>
      <c r="K56" s="20"/>
    </row>
    <row r="57" spans="1:11" hidden="1" x14ac:dyDescent="0.25">
      <c r="A57" s="12"/>
      <c r="B57" s="114"/>
      <c r="C57" s="22">
        <f t="shared" si="8"/>
        <v>0</v>
      </c>
      <c r="D57" s="115"/>
      <c r="E57" s="115"/>
      <c r="F57" s="28"/>
      <c r="G57" s="28"/>
      <c r="H57" s="28"/>
      <c r="I57" s="20"/>
      <c r="J57" s="20"/>
      <c r="K57" s="20"/>
    </row>
    <row r="58" spans="1:11" hidden="1" x14ac:dyDescent="0.25">
      <c r="A58" s="12"/>
      <c r="B58" s="114"/>
      <c r="C58" s="22">
        <f t="shared" si="8"/>
        <v>0</v>
      </c>
      <c r="D58" s="115"/>
      <c r="E58" s="115"/>
      <c r="F58" s="28"/>
      <c r="G58" s="28"/>
      <c r="H58" s="28"/>
      <c r="I58" s="20"/>
      <c r="J58" s="20"/>
      <c r="K58" s="20"/>
    </row>
    <row r="59" spans="1:11" hidden="1" x14ac:dyDescent="0.25">
      <c r="A59" s="12"/>
      <c r="B59" s="114"/>
      <c r="C59" s="22">
        <f t="shared" si="8"/>
        <v>0</v>
      </c>
      <c r="D59" s="115"/>
      <c r="E59" s="115"/>
      <c r="F59" s="28"/>
      <c r="G59" s="28"/>
      <c r="H59" s="28"/>
      <c r="I59" s="20"/>
      <c r="J59" s="20"/>
      <c r="K59" s="20"/>
    </row>
    <row r="60" spans="1:11" hidden="1" x14ac:dyDescent="0.25">
      <c r="A60" s="12"/>
      <c r="B60" s="114"/>
      <c r="C60" s="22">
        <f t="shared" si="8"/>
        <v>0</v>
      </c>
      <c r="D60" s="115"/>
      <c r="E60" s="115"/>
      <c r="F60" s="28"/>
      <c r="G60" s="28"/>
      <c r="H60" s="28"/>
      <c r="I60" s="20"/>
      <c r="J60" s="20"/>
      <c r="K60" s="20"/>
    </row>
    <row r="61" spans="1:11" hidden="1" x14ac:dyDescent="0.25">
      <c r="A61" s="12"/>
      <c r="B61" s="114"/>
      <c r="C61" s="22">
        <f t="shared" si="8"/>
        <v>0</v>
      </c>
      <c r="D61" s="115"/>
      <c r="E61" s="115"/>
      <c r="F61" s="28"/>
      <c r="G61" s="28"/>
      <c r="H61" s="28"/>
      <c r="I61" s="20"/>
      <c r="J61" s="20"/>
      <c r="K61" s="20"/>
    </row>
    <row r="62" spans="1:11" hidden="1" x14ac:dyDescent="0.25">
      <c r="A62" s="12"/>
      <c r="B62" s="114"/>
      <c r="C62" s="22">
        <f t="shared" si="8"/>
        <v>0</v>
      </c>
      <c r="D62" s="115"/>
      <c r="E62" s="115"/>
      <c r="F62" s="28"/>
      <c r="G62" s="28"/>
      <c r="H62" s="28"/>
      <c r="I62" s="20"/>
      <c r="J62" s="20"/>
      <c r="K62" s="20"/>
    </row>
    <row r="63" spans="1:11" hidden="1" x14ac:dyDescent="0.25">
      <c r="A63" s="12"/>
      <c r="B63" s="114"/>
      <c r="C63" s="22">
        <f t="shared" si="8"/>
        <v>0</v>
      </c>
      <c r="D63" s="115"/>
      <c r="E63" s="115"/>
      <c r="F63" s="28"/>
      <c r="G63" s="28"/>
      <c r="H63" s="28"/>
      <c r="I63" s="20"/>
      <c r="J63" s="20"/>
      <c r="K63" s="20"/>
    </row>
    <row r="64" spans="1:11" hidden="1" x14ac:dyDescent="0.25">
      <c r="A64" s="12"/>
      <c r="B64" s="114"/>
      <c r="C64" s="22">
        <f t="shared" si="8"/>
        <v>0</v>
      </c>
      <c r="D64" s="115"/>
      <c r="E64" s="115"/>
      <c r="F64" s="28"/>
      <c r="G64" s="28"/>
      <c r="H64" s="28"/>
      <c r="I64" s="20"/>
      <c r="J64" s="20"/>
      <c r="K64" s="20"/>
    </row>
    <row r="65" spans="1:11" hidden="1" x14ac:dyDescent="0.25">
      <c r="A65" s="12"/>
      <c r="B65" s="114"/>
      <c r="C65" s="22">
        <f t="shared" si="8"/>
        <v>0</v>
      </c>
      <c r="D65" s="115"/>
      <c r="E65" s="115"/>
      <c r="F65" s="28"/>
      <c r="G65" s="28"/>
      <c r="H65" s="28"/>
      <c r="I65" s="20"/>
      <c r="J65" s="20"/>
      <c r="K65" s="20"/>
    </row>
    <row r="66" spans="1:11" hidden="1" x14ac:dyDescent="0.25">
      <c r="A66" s="12"/>
      <c r="B66" s="114"/>
      <c r="C66" s="22">
        <f t="shared" si="8"/>
        <v>0</v>
      </c>
      <c r="D66" s="115"/>
      <c r="E66" s="115"/>
      <c r="F66" s="28"/>
      <c r="G66" s="28"/>
      <c r="H66" s="28"/>
      <c r="I66" s="20"/>
      <c r="J66" s="20"/>
      <c r="K66" s="20"/>
    </row>
    <row r="67" spans="1:11" hidden="1" x14ac:dyDescent="0.25">
      <c r="A67" s="12"/>
      <c r="B67" s="114"/>
      <c r="C67" s="22">
        <f t="shared" si="8"/>
        <v>0</v>
      </c>
      <c r="D67" s="115"/>
      <c r="E67" s="115"/>
      <c r="F67" s="28"/>
      <c r="G67" s="28"/>
      <c r="H67" s="28"/>
      <c r="I67" s="20"/>
      <c r="J67" s="20"/>
      <c r="K67" s="20"/>
    </row>
    <row r="68" spans="1:11" ht="33" x14ac:dyDescent="0.25">
      <c r="A68" s="4" t="s">
        <v>52</v>
      </c>
      <c r="B68" s="5" t="s">
        <v>53</v>
      </c>
      <c r="C68" s="117"/>
      <c r="D68" s="117"/>
      <c r="E68" s="117"/>
      <c r="F68" s="118">
        <f>SUM(G68:H68)</f>
        <v>38879.541765000002</v>
      </c>
      <c r="G68" s="119">
        <v>36546.204876000003</v>
      </c>
      <c r="H68" s="119">
        <v>2333.3368890000002</v>
      </c>
      <c r="I68" s="120"/>
      <c r="J68" s="120"/>
      <c r="K68" s="120"/>
    </row>
    <row r="69" spans="1:11" s="69" customFormat="1" x14ac:dyDescent="0.25">
      <c r="A69" s="111" t="s">
        <v>127</v>
      </c>
      <c r="B69" s="112" t="s">
        <v>173</v>
      </c>
      <c r="C69" s="112"/>
      <c r="D69" s="112"/>
      <c r="E69" s="112"/>
      <c r="F69" s="113">
        <f>SUM(G69:H69)</f>
        <v>9998.6734649999999</v>
      </c>
      <c r="G69" s="113">
        <v>9655.7127660000006</v>
      </c>
      <c r="H69" s="113">
        <v>342.96069899999998</v>
      </c>
      <c r="I69" s="112"/>
      <c r="J69" s="112"/>
      <c r="K69" s="112"/>
    </row>
  </sheetData>
  <mergeCells count="12">
    <mergeCell ref="I7:K7"/>
    <mergeCell ref="A4:K4"/>
    <mergeCell ref="A5:K5"/>
    <mergeCell ref="I6:K6"/>
    <mergeCell ref="D1:E1"/>
    <mergeCell ref="I1:K1"/>
    <mergeCell ref="A7:A8"/>
    <mergeCell ref="B7:B8"/>
    <mergeCell ref="C7:C8"/>
    <mergeCell ref="D7:E7"/>
    <mergeCell ref="F7:F8"/>
    <mergeCell ref="G7:H7"/>
  </mergeCells>
  <pageMargins left="0.33" right="0.2" top="0.51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zoomScale="60" workbookViewId="0">
      <selection activeCell="D10" sqref="D10"/>
    </sheetView>
  </sheetViews>
  <sheetFormatPr defaultColWidth="9.140625" defaultRowHeight="16.5" x14ac:dyDescent="0.25"/>
  <cols>
    <col min="1" max="1" width="5.140625" style="1" customWidth="1"/>
    <col min="2" max="2" width="55.28515625" style="1" customWidth="1"/>
    <col min="3" max="3" width="11.28515625" style="1" customWidth="1"/>
    <col min="4" max="4" width="14" style="1" customWidth="1"/>
    <col min="5" max="5" width="10" style="1" customWidth="1"/>
    <col min="6" max="6" width="12.7109375" style="1" bestFit="1" customWidth="1"/>
    <col min="7" max="16384" width="9.140625" style="1"/>
  </cols>
  <sheetData>
    <row r="1" spans="1:6" ht="18" customHeight="1" x14ac:dyDescent="0.25">
      <c r="A1" s="7" t="s">
        <v>92</v>
      </c>
      <c r="B1" s="8"/>
      <c r="C1" s="8"/>
      <c r="D1" s="220" t="s">
        <v>111</v>
      </c>
      <c r="E1" s="220"/>
    </row>
    <row r="2" spans="1:6" ht="18" customHeight="1" x14ac:dyDescent="0.25">
      <c r="A2" s="7" t="s">
        <v>93</v>
      </c>
      <c r="B2" s="8"/>
      <c r="C2" s="8"/>
      <c r="D2" s="100"/>
      <c r="E2" s="18"/>
    </row>
    <row r="3" spans="1:6" ht="13.5" customHeight="1" x14ac:dyDescent="0.25">
      <c r="A3" s="7"/>
      <c r="B3" s="8"/>
      <c r="C3" s="8"/>
      <c r="D3" s="18"/>
      <c r="E3" s="18"/>
    </row>
    <row r="4" spans="1:6" x14ac:dyDescent="0.25">
      <c r="A4" s="223" t="s">
        <v>215</v>
      </c>
      <c r="B4" s="223"/>
      <c r="C4" s="223"/>
      <c r="D4" s="223"/>
      <c r="E4" s="223"/>
    </row>
    <row r="5" spans="1:6" x14ac:dyDescent="0.25">
      <c r="A5" s="218" t="str">
        <f>'96'!A5:E5</f>
        <v>(Kèm theo Quyết định số        /QĐ-UBND ngày      tháng 7 năm 2022 của UBND huyện Đăk Hà)</v>
      </c>
      <c r="B5" s="218"/>
      <c r="C5" s="218"/>
      <c r="D5" s="218"/>
      <c r="E5" s="218"/>
    </row>
    <row r="6" spans="1:6" ht="17.25" x14ac:dyDescent="0.3">
      <c r="A6" s="17"/>
      <c r="C6" s="222" t="s">
        <v>0</v>
      </c>
      <c r="D6" s="222"/>
      <c r="E6" s="222"/>
    </row>
    <row r="7" spans="1:6" ht="33" x14ac:dyDescent="0.25">
      <c r="A7" s="15" t="s">
        <v>1</v>
      </c>
      <c r="B7" s="15" t="s">
        <v>42</v>
      </c>
      <c r="C7" s="15" t="s">
        <v>94</v>
      </c>
      <c r="D7" s="15" t="s">
        <v>84</v>
      </c>
      <c r="E7" s="15" t="s">
        <v>86</v>
      </c>
    </row>
    <row r="8" spans="1:6" x14ac:dyDescent="0.25">
      <c r="A8" s="15" t="s">
        <v>2</v>
      </c>
      <c r="B8" s="15" t="s">
        <v>16</v>
      </c>
      <c r="C8" s="16">
        <v>1</v>
      </c>
      <c r="D8" s="16">
        <v>2</v>
      </c>
      <c r="E8" s="16" t="s">
        <v>87</v>
      </c>
    </row>
    <row r="9" spans="1:6" x14ac:dyDescent="0.25">
      <c r="A9" s="14"/>
      <c r="B9" s="14" t="s">
        <v>17</v>
      </c>
      <c r="C9" s="42">
        <f>C11</f>
        <v>349619</v>
      </c>
      <c r="D9" s="44">
        <f>D11+D43+D44</f>
        <v>450899.17123700003</v>
      </c>
      <c r="E9" s="61">
        <f>D9/C9*100</f>
        <v>128.96872630978297</v>
      </c>
      <c r="F9" s="25"/>
    </row>
    <row r="10" spans="1:6" x14ac:dyDescent="0.25">
      <c r="A10" s="13" t="s">
        <v>2</v>
      </c>
      <c r="B10" s="2" t="s">
        <v>109</v>
      </c>
      <c r="C10" s="41">
        <v>41368</v>
      </c>
      <c r="D10" s="52">
        <v>41150.894</v>
      </c>
      <c r="E10" s="61">
        <f t="shared" ref="E10:E13" si="0">D10/C10*100</f>
        <v>99.475183716882626</v>
      </c>
    </row>
    <row r="11" spans="1:6" ht="33" x14ac:dyDescent="0.25">
      <c r="A11" s="13" t="s">
        <v>16</v>
      </c>
      <c r="B11" s="2" t="s">
        <v>55</v>
      </c>
      <c r="C11" s="41">
        <f>C13+C27+C41+C42</f>
        <v>349619</v>
      </c>
      <c r="D11" s="45">
        <f>D13+D27+D41+D42</f>
        <v>404697.25359500002</v>
      </c>
      <c r="E11" s="61">
        <f t="shared" si="0"/>
        <v>115.75379301325157</v>
      </c>
      <c r="F11" s="24"/>
    </row>
    <row r="12" spans="1:6" x14ac:dyDescent="0.25">
      <c r="A12" s="12"/>
      <c r="B12" s="9" t="s">
        <v>50</v>
      </c>
      <c r="C12" s="39"/>
      <c r="D12" s="51"/>
      <c r="E12" s="61"/>
    </row>
    <row r="13" spans="1:6" x14ac:dyDescent="0.25">
      <c r="A13" s="13" t="s">
        <v>4</v>
      </c>
      <c r="B13" s="2" t="s">
        <v>19</v>
      </c>
      <c r="C13" s="41">
        <f>C14+C26</f>
        <v>42905</v>
      </c>
      <c r="D13" s="52">
        <f>D14+D26</f>
        <v>72887.636622000005</v>
      </c>
      <c r="E13" s="61">
        <f t="shared" si="0"/>
        <v>169.8814511642</v>
      </c>
    </row>
    <row r="14" spans="1:6" x14ac:dyDescent="0.25">
      <c r="A14" s="12">
        <v>1</v>
      </c>
      <c r="B14" s="3" t="s">
        <v>46</v>
      </c>
      <c r="C14" s="39">
        <f>C16+C17+C18+C19+C20+C21+C22+C23+C24+C25</f>
        <v>23425</v>
      </c>
      <c r="D14" s="39">
        <f>D16+D17+D18+D19+D20+D21+D22+D23+D24+D25</f>
        <v>72887.636622000005</v>
      </c>
      <c r="E14" s="61"/>
    </row>
    <row r="15" spans="1:6" x14ac:dyDescent="0.25">
      <c r="A15" s="12"/>
      <c r="B15" s="9" t="s">
        <v>50</v>
      </c>
      <c r="C15" s="39"/>
      <c r="D15" s="51"/>
      <c r="E15" s="12"/>
    </row>
    <row r="16" spans="1:6" x14ac:dyDescent="0.25">
      <c r="A16" s="12" t="s">
        <v>56</v>
      </c>
      <c r="B16" s="3" t="s">
        <v>47</v>
      </c>
      <c r="C16" s="39">
        <f>'98'!D14</f>
        <v>5800</v>
      </c>
      <c r="D16" s="28">
        <v>12043.340297000001</v>
      </c>
      <c r="E16" s="12"/>
    </row>
    <row r="17" spans="1:5" x14ac:dyDescent="0.25">
      <c r="A17" s="12" t="s">
        <v>57</v>
      </c>
      <c r="B17" s="3" t="s">
        <v>48</v>
      </c>
      <c r="C17" s="39"/>
      <c r="D17" s="51"/>
      <c r="E17" s="12"/>
    </row>
    <row r="18" spans="1:5" x14ac:dyDescent="0.25">
      <c r="A18" s="12" t="s">
        <v>58</v>
      </c>
      <c r="B18" s="3" t="s">
        <v>59</v>
      </c>
      <c r="C18" s="39"/>
      <c r="D18" s="51">
        <v>40.424480000000003</v>
      </c>
      <c r="E18" s="12"/>
    </row>
    <row r="19" spans="1:5" x14ac:dyDescent="0.25">
      <c r="A19" s="12" t="s">
        <v>60</v>
      </c>
      <c r="B19" s="3" t="s">
        <v>61</v>
      </c>
      <c r="C19" s="39">
        <f>'98'!D17</f>
        <v>300</v>
      </c>
      <c r="D19" s="51">
        <v>404.460464</v>
      </c>
      <c r="E19" s="12"/>
    </row>
    <row r="20" spans="1:5" x14ac:dyDescent="0.25">
      <c r="A20" s="12" t="s">
        <v>62</v>
      </c>
      <c r="B20" s="3" t="s">
        <v>63</v>
      </c>
      <c r="C20" s="39"/>
      <c r="D20" s="51">
        <v>322.02230600000001</v>
      </c>
      <c r="E20" s="12"/>
    </row>
    <row r="21" spans="1:5" x14ac:dyDescent="0.25">
      <c r="A21" s="12" t="s">
        <v>64</v>
      </c>
      <c r="B21" s="3" t="s">
        <v>65</v>
      </c>
      <c r="C21" s="39"/>
      <c r="D21" s="51"/>
      <c r="E21" s="12"/>
    </row>
    <row r="22" spans="1:5" x14ac:dyDescent="0.25">
      <c r="A22" s="12" t="s">
        <v>66</v>
      </c>
      <c r="B22" s="3" t="s">
        <v>67</v>
      </c>
      <c r="C22" s="39"/>
      <c r="D22" s="51"/>
      <c r="E22" s="12"/>
    </row>
    <row r="23" spans="1:5" x14ac:dyDescent="0.25">
      <c r="A23" s="12" t="s">
        <v>68</v>
      </c>
      <c r="B23" s="3" t="s">
        <v>69</v>
      </c>
      <c r="C23" s="39">
        <f>'98'!D21</f>
        <v>17325</v>
      </c>
      <c r="D23" s="51">
        <v>54706.453439999997</v>
      </c>
      <c r="E23" s="12"/>
    </row>
    <row r="24" spans="1:5" ht="33" x14ac:dyDescent="0.25">
      <c r="A24" s="12" t="s">
        <v>70</v>
      </c>
      <c r="B24" s="3" t="s">
        <v>73</v>
      </c>
      <c r="C24" s="39"/>
      <c r="D24" s="51">
        <v>5370.9356349999998</v>
      </c>
      <c r="E24" s="12"/>
    </row>
    <row r="25" spans="1:5" ht="33" x14ac:dyDescent="0.25">
      <c r="A25" s="12" t="s">
        <v>71</v>
      </c>
      <c r="B25" s="3" t="s">
        <v>72</v>
      </c>
      <c r="C25" s="39"/>
      <c r="D25" s="51"/>
      <c r="E25" s="12"/>
    </row>
    <row r="26" spans="1:5" x14ac:dyDescent="0.25">
      <c r="A26" s="12">
        <v>2</v>
      </c>
      <c r="B26" s="3" t="s">
        <v>49</v>
      </c>
      <c r="C26" s="39">
        <f>'98'!D25</f>
        <v>19480</v>
      </c>
      <c r="D26" s="51"/>
      <c r="E26" s="61"/>
    </row>
    <row r="27" spans="1:5" x14ac:dyDescent="0.25">
      <c r="A27" s="13" t="s">
        <v>9</v>
      </c>
      <c r="B27" s="2" t="s">
        <v>20</v>
      </c>
      <c r="C27" s="41">
        <f>SUM(C29:C40)</f>
        <v>300561</v>
      </c>
      <c r="D27" s="52">
        <f>SUM(D29:D40)</f>
        <v>331809.616973</v>
      </c>
      <c r="E27" s="61">
        <f t="shared" ref="E27:E41" si="1">D27/C27*100</f>
        <v>110.39676370952985</v>
      </c>
    </row>
    <row r="28" spans="1:5" x14ac:dyDescent="0.25">
      <c r="A28" s="12"/>
      <c r="B28" s="9" t="s">
        <v>50</v>
      </c>
      <c r="C28" s="39"/>
      <c r="D28" s="51"/>
      <c r="E28" s="61"/>
    </row>
    <row r="29" spans="1:5" x14ac:dyDescent="0.25">
      <c r="A29" s="12">
        <v>1</v>
      </c>
      <c r="B29" s="3" t="s">
        <v>47</v>
      </c>
      <c r="C29" s="39">
        <f>198681+2413-468+10896+3579+2511+237</f>
        <v>217849</v>
      </c>
      <c r="D29" s="51">
        <v>239950.04555899999</v>
      </c>
      <c r="E29" s="61">
        <f t="shared" si="1"/>
        <v>110.14512141850548</v>
      </c>
    </row>
    <row r="30" spans="1:5" x14ac:dyDescent="0.25">
      <c r="A30" s="12">
        <v>2</v>
      </c>
      <c r="B30" s="3" t="s">
        <v>48</v>
      </c>
      <c r="C30" s="39">
        <v>150</v>
      </c>
      <c r="D30" s="51">
        <v>150</v>
      </c>
      <c r="E30" s="61">
        <f t="shared" si="1"/>
        <v>100</v>
      </c>
    </row>
    <row r="31" spans="1:5" x14ac:dyDescent="0.25">
      <c r="A31" s="12">
        <v>3</v>
      </c>
      <c r="B31" s="3" t="s">
        <v>171</v>
      </c>
      <c r="C31" s="39">
        <f>9794+1700</f>
        <v>11494</v>
      </c>
      <c r="D31" s="51">
        <v>1500</v>
      </c>
      <c r="E31" s="61"/>
    </row>
    <row r="32" spans="1:5" x14ac:dyDescent="0.25">
      <c r="A32" s="12">
        <v>4</v>
      </c>
      <c r="B32" s="3" t="s">
        <v>219</v>
      </c>
      <c r="C32" s="39">
        <v>2549</v>
      </c>
      <c r="D32" s="51">
        <v>3129.4789999999998</v>
      </c>
      <c r="E32" s="61">
        <f t="shared" si="1"/>
        <v>122.77281286779129</v>
      </c>
    </row>
    <row r="33" spans="1:5" x14ac:dyDescent="0.25">
      <c r="A33" s="12">
        <v>5</v>
      </c>
      <c r="B33" s="3" t="s">
        <v>63</v>
      </c>
      <c r="C33" s="39"/>
      <c r="D33" s="51"/>
      <c r="E33" s="61"/>
    </row>
    <row r="34" spans="1:5" x14ac:dyDescent="0.25">
      <c r="A34" s="12">
        <v>6</v>
      </c>
      <c r="B34" s="3" t="s">
        <v>170</v>
      </c>
      <c r="C34" s="22">
        <f>5135+800</f>
        <v>5935</v>
      </c>
      <c r="D34" s="20">
        <v>10057.3128</v>
      </c>
      <c r="E34" s="61">
        <f t="shared" si="1"/>
        <v>169.45767144060656</v>
      </c>
    </row>
    <row r="35" spans="1:5" x14ac:dyDescent="0.25">
      <c r="A35" s="12">
        <v>7</v>
      </c>
      <c r="B35" s="3" t="s">
        <v>67</v>
      </c>
      <c r="C35" s="22">
        <f>3555+500</f>
        <v>4055</v>
      </c>
      <c r="D35" s="20">
        <v>3454.2284199999999</v>
      </c>
      <c r="E35" s="61">
        <f t="shared" si="1"/>
        <v>85.184424660912455</v>
      </c>
    </row>
    <row r="36" spans="1:5" x14ac:dyDescent="0.25">
      <c r="A36" s="12">
        <v>8</v>
      </c>
      <c r="B36" s="3" t="s">
        <v>69</v>
      </c>
      <c r="C36" s="22">
        <f>7050+336+1100-10</f>
        <v>8476</v>
      </c>
      <c r="D36" s="20">
        <v>5919.5008459999999</v>
      </c>
      <c r="E36" s="61">
        <f t="shared" si="1"/>
        <v>69.838377135441249</v>
      </c>
    </row>
    <row r="37" spans="1:5" ht="33" x14ac:dyDescent="0.25">
      <c r="A37" s="12">
        <v>9</v>
      </c>
      <c r="B37" s="3" t="s">
        <v>73</v>
      </c>
      <c r="C37" s="22">
        <f>34398+554+155+2000+98+350+90</f>
        <v>37645</v>
      </c>
      <c r="D37" s="20">
        <v>54442.221898000003</v>
      </c>
      <c r="E37" s="61">
        <f t="shared" si="1"/>
        <v>144.62006082613894</v>
      </c>
    </row>
    <row r="38" spans="1:5" x14ac:dyDescent="0.25">
      <c r="A38" s="12">
        <v>10</v>
      </c>
      <c r="B38" s="3" t="s">
        <v>72</v>
      </c>
      <c r="C38" s="22">
        <f>6051+848+269+100+1120+841+79</f>
        <v>9308</v>
      </c>
      <c r="D38" s="20">
        <v>12029.569450000001</v>
      </c>
      <c r="E38" s="61">
        <f t="shared" si="1"/>
        <v>129.23903577567683</v>
      </c>
    </row>
    <row r="39" spans="1:5" x14ac:dyDescent="0.25">
      <c r="A39" s="12">
        <v>11</v>
      </c>
      <c r="B39" s="3" t="s">
        <v>172</v>
      </c>
      <c r="C39" s="22"/>
      <c r="D39" s="20">
        <v>1177.259</v>
      </c>
      <c r="E39" s="61"/>
    </row>
    <row r="40" spans="1:5" x14ac:dyDescent="0.25">
      <c r="A40" s="12">
        <v>12</v>
      </c>
      <c r="B40" s="3" t="s">
        <v>220</v>
      </c>
      <c r="C40" s="22">
        <v>3100</v>
      </c>
      <c r="D40" s="20"/>
      <c r="E40" s="110">
        <f t="shared" si="1"/>
        <v>0</v>
      </c>
    </row>
    <row r="41" spans="1:5" x14ac:dyDescent="0.25">
      <c r="A41" s="13" t="s">
        <v>12</v>
      </c>
      <c r="B41" s="2" t="s">
        <v>74</v>
      </c>
      <c r="C41" s="23">
        <v>6153</v>
      </c>
      <c r="D41" s="53"/>
      <c r="E41" s="20">
        <f t="shared" si="1"/>
        <v>0</v>
      </c>
    </row>
    <row r="42" spans="1:5" x14ac:dyDescent="0.25">
      <c r="A42" s="13" t="s">
        <v>14</v>
      </c>
      <c r="B42" s="2" t="s">
        <v>75</v>
      </c>
      <c r="C42" s="23"/>
      <c r="D42" s="53"/>
      <c r="E42" s="3"/>
    </row>
    <row r="43" spans="1:5" x14ac:dyDescent="0.25">
      <c r="A43" s="30" t="s">
        <v>52</v>
      </c>
      <c r="B43" s="31" t="s">
        <v>53</v>
      </c>
      <c r="C43" s="54"/>
      <c r="D43" s="55">
        <v>36546.204876000003</v>
      </c>
      <c r="E43" s="56"/>
    </row>
    <row r="44" spans="1:5" x14ac:dyDescent="0.25">
      <c r="A44" s="58" t="s">
        <v>127</v>
      </c>
      <c r="B44" s="59" t="s">
        <v>128</v>
      </c>
      <c r="C44" s="59"/>
      <c r="D44" s="60">
        <v>9655.7127660000006</v>
      </c>
      <c r="E44" s="57"/>
    </row>
  </sheetData>
  <mergeCells count="4">
    <mergeCell ref="A4:E4"/>
    <mergeCell ref="A5:E5"/>
    <mergeCell ref="C6:E6"/>
    <mergeCell ref="D1:E1"/>
  </mergeCells>
  <pageMargins left="0.44" right="0.21" top="0.54" bottom="0.51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view="pageBreakPreview" topLeftCell="A4" zoomScale="90" zoomScaleSheetLayoutView="90" workbookViewId="0">
      <pane xSplit="2" ySplit="10" topLeftCell="C14" activePane="bottomRight" state="frozen"/>
      <selection activeCell="A4" sqref="A4"/>
      <selection pane="topRight" activeCell="C4" sqref="C4"/>
      <selection pane="bottomLeft" activeCell="A11" sqref="A11"/>
      <selection pane="bottomRight" activeCell="N4" sqref="N4:Q4"/>
    </sheetView>
  </sheetViews>
  <sheetFormatPr defaultRowHeight="16.5" x14ac:dyDescent="0.25"/>
  <cols>
    <col min="1" max="1" width="4.5703125" style="167" customWidth="1"/>
    <col min="2" max="2" width="31.28515625" style="167" customWidth="1"/>
    <col min="3" max="3" width="13.7109375" style="167" customWidth="1"/>
    <col min="4" max="4" width="12" style="167" customWidth="1"/>
    <col min="5" max="5" width="12.7109375" style="167" customWidth="1"/>
    <col min="6" max="6" width="12.140625" style="167" customWidth="1"/>
    <col min="7" max="7" width="12.28515625" style="167" customWidth="1"/>
    <col min="8" max="8" width="12.5703125" style="167" customWidth="1"/>
    <col min="9" max="9" width="8.140625" style="167" customWidth="1"/>
    <col min="10" max="10" width="7.28515625" style="167" customWidth="1"/>
    <col min="11" max="11" width="8.28515625" style="167" customWidth="1"/>
    <col min="12" max="12" width="7.28515625" style="167" customWidth="1"/>
    <col min="13" max="13" width="8.42578125" style="167" customWidth="1"/>
    <col min="14" max="14" width="8.7109375" style="167" customWidth="1"/>
    <col min="15" max="15" width="9.7109375" style="167" customWidth="1"/>
    <col min="16" max="16" width="8" style="167" customWidth="1"/>
    <col min="17" max="17" width="7.5703125" style="167" customWidth="1"/>
    <col min="18" max="256" width="9.140625" style="167"/>
    <col min="257" max="257" width="4.5703125" style="167" customWidth="1"/>
    <col min="258" max="258" width="32.7109375" style="167" customWidth="1"/>
    <col min="259" max="259" width="13.7109375" style="167" customWidth="1"/>
    <col min="260" max="260" width="12" style="167" customWidth="1"/>
    <col min="261" max="261" width="12.7109375" style="167" customWidth="1"/>
    <col min="262" max="262" width="12.140625" style="167" customWidth="1"/>
    <col min="263" max="263" width="12.28515625" style="167" customWidth="1"/>
    <col min="264" max="264" width="12.5703125" style="167" customWidth="1"/>
    <col min="265" max="265" width="9.28515625" style="167" customWidth="1"/>
    <col min="266" max="266" width="7.28515625" style="167" customWidth="1"/>
    <col min="267" max="267" width="8.28515625" style="167" customWidth="1"/>
    <col min="268" max="268" width="7.28515625" style="167" customWidth="1"/>
    <col min="269" max="269" width="8.42578125" style="167" customWidth="1"/>
    <col min="270" max="270" width="8.7109375" style="167" customWidth="1"/>
    <col min="271" max="271" width="10.140625" style="167" customWidth="1"/>
    <col min="272" max="272" width="8" style="167" customWidth="1"/>
    <col min="273" max="273" width="6.42578125" style="167" customWidth="1"/>
    <col min="274" max="512" width="9.140625" style="167"/>
    <col min="513" max="513" width="4.5703125" style="167" customWidth="1"/>
    <col min="514" max="514" width="32.7109375" style="167" customWidth="1"/>
    <col min="515" max="515" width="13.7109375" style="167" customWidth="1"/>
    <col min="516" max="516" width="12" style="167" customWidth="1"/>
    <col min="517" max="517" width="12.7109375" style="167" customWidth="1"/>
    <col min="518" max="518" width="12.140625" style="167" customWidth="1"/>
    <col min="519" max="519" width="12.28515625" style="167" customWidth="1"/>
    <col min="520" max="520" width="12.5703125" style="167" customWidth="1"/>
    <col min="521" max="521" width="9.28515625" style="167" customWidth="1"/>
    <col min="522" max="522" width="7.28515625" style="167" customWidth="1"/>
    <col min="523" max="523" width="8.28515625" style="167" customWidth="1"/>
    <col min="524" max="524" width="7.28515625" style="167" customWidth="1"/>
    <col min="525" max="525" width="8.42578125" style="167" customWidth="1"/>
    <col min="526" max="526" width="8.7109375" style="167" customWidth="1"/>
    <col min="527" max="527" width="10.140625" style="167" customWidth="1"/>
    <col min="528" max="528" width="8" style="167" customWidth="1"/>
    <col min="529" max="529" width="6.42578125" style="167" customWidth="1"/>
    <col min="530" max="768" width="9.140625" style="167"/>
    <col min="769" max="769" width="4.5703125" style="167" customWidth="1"/>
    <col min="770" max="770" width="32.7109375" style="167" customWidth="1"/>
    <col min="771" max="771" width="13.7109375" style="167" customWidth="1"/>
    <col min="772" max="772" width="12" style="167" customWidth="1"/>
    <col min="773" max="773" width="12.7109375" style="167" customWidth="1"/>
    <col min="774" max="774" width="12.140625" style="167" customWidth="1"/>
    <col min="775" max="775" width="12.28515625" style="167" customWidth="1"/>
    <col min="776" max="776" width="12.5703125" style="167" customWidth="1"/>
    <col min="777" max="777" width="9.28515625" style="167" customWidth="1"/>
    <col min="778" max="778" width="7.28515625" style="167" customWidth="1"/>
    <col min="779" max="779" width="8.28515625" style="167" customWidth="1"/>
    <col min="780" max="780" width="7.28515625" style="167" customWidth="1"/>
    <col min="781" max="781" width="8.42578125" style="167" customWidth="1"/>
    <col min="782" max="782" width="8.7109375" style="167" customWidth="1"/>
    <col min="783" max="783" width="10.140625" style="167" customWidth="1"/>
    <col min="784" max="784" width="8" style="167" customWidth="1"/>
    <col min="785" max="785" width="6.42578125" style="167" customWidth="1"/>
    <col min="786" max="1024" width="9.140625" style="167"/>
    <col min="1025" max="1025" width="4.5703125" style="167" customWidth="1"/>
    <col min="1026" max="1026" width="32.7109375" style="167" customWidth="1"/>
    <col min="1027" max="1027" width="13.7109375" style="167" customWidth="1"/>
    <col min="1028" max="1028" width="12" style="167" customWidth="1"/>
    <col min="1029" max="1029" width="12.7109375" style="167" customWidth="1"/>
    <col min="1030" max="1030" width="12.140625" style="167" customWidth="1"/>
    <col min="1031" max="1031" width="12.28515625" style="167" customWidth="1"/>
    <col min="1032" max="1032" width="12.5703125" style="167" customWidth="1"/>
    <col min="1033" max="1033" width="9.28515625" style="167" customWidth="1"/>
    <col min="1034" max="1034" width="7.28515625" style="167" customWidth="1"/>
    <col min="1035" max="1035" width="8.28515625" style="167" customWidth="1"/>
    <col min="1036" max="1036" width="7.28515625" style="167" customWidth="1"/>
    <col min="1037" max="1037" width="8.42578125" style="167" customWidth="1"/>
    <col min="1038" max="1038" width="8.7109375" style="167" customWidth="1"/>
    <col min="1039" max="1039" width="10.140625" style="167" customWidth="1"/>
    <col min="1040" max="1040" width="8" style="167" customWidth="1"/>
    <col min="1041" max="1041" width="6.42578125" style="167" customWidth="1"/>
    <col min="1042" max="1280" width="9.140625" style="167"/>
    <col min="1281" max="1281" width="4.5703125" style="167" customWidth="1"/>
    <col min="1282" max="1282" width="32.7109375" style="167" customWidth="1"/>
    <col min="1283" max="1283" width="13.7109375" style="167" customWidth="1"/>
    <col min="1284" max="1284" width="12" style="167" customWidth="1"/>
    <col min="1285" max="1285" width="12.7109375" style="167" customWidth="1"/>
    <col min="1286" max="1286" width="12.140625" style="167" customWidth="1"/>
    <col min="1287" max="1287" width="12.28515625" style="167" customWidth="1"/>
    <col min="1288" max="1288" width="12.5703125" style="167" customWidth="1"/>
    <col min="1289" max="1289" width="9.28515625" style="167" customWidth="1"/>
    <col min="1290" max="1290" width="7.28515625" style="167" customWidth="1"/>
    <col min="1291" max="1291" width="8.28515625" style="167" customWidth="1"/>
    <col min="1292" max="1292" width="7.28515625" style="167" customWidth="1"/>
    <col min="1293" max="1293" width="8.42578125" style="167" customWidth="1"/>
    <col min="1294" max="1294" width="8.7109375" style="167" customWidth="1"/>
    <col min="1295" max="1295" width="10.140625" style="167" customWidth="1"/>
    <col min="1296" max="1296" width="8" style="167" customWidth="1"/>
    <col min="1297" max="1297" width="6.42578125" style="167" customWidth="1"/>
    <col min="1298" max="1536" width="9.140625" style="167"/>
    <col min="1537" max="1537" width="4.5703125" style="167" customWidth="1"/>
    <col min="1538" max="1538" width="32.7109375" style="167" customWidth="1"/>
    <col min="1539" max="1539" width="13.7109375" style="167" customWidth="1"/>
    <col min="1540" max="1540" width="12" style="167" customWidth="1"/>
    <col min="1541" max="1541" width="12.7109375" style="167" customWidth="1"/>
    <col min="1542" max="1542" width="12.140625" style="167" customWidth="1"/>
    <col min="1543" max="1543" width="12.28515625" style="167" customWidth="1"/>
    <col min="1544" max="1544" width="12.5703125" style="167" customWidth="1"/>
    <col min="1545" max="1545" width="9.28515625" style="167" customWidth="1"/>
    <col min="1546" max="1546" width="7.28515625" style="167" customWidth="1"/>
    <col min="1547" max="1547" width="8.28515625" style="167" customWidth="1"/>
    <col min="1548" max="1548" width="7.28515625" style="167" customWidth="1"/>
    <col min="1549" max="1549" width="8.42578125" style="167" customWidth="1"/>
    <col min="1550" max="1550" width="8.7109375" style="167" customWidth="1"/>
    <col min="1551" max="1551" width="10.140625" style="167" customWidth="1"/>
    <col min="1552" max="1552" width="8" style="167" customWidth="1"/>
    <col min="1553" max="1553" width="6.42578125" style="167" customWidth="1"/>
    <col min="1554" max="1792" width="9.140625" style="167"/>
    <col min="1793" max="1793" width="4.5703125" style="167" customWidth="1"/>
    <col min="1794" max="1794" width="32.7109375" style="167" customWidth="1"/>
    <col min="1795" max="1795" width="13.7109375" style="167" customWidth="1"/>
    <col min="1796" max="1796" width="12" style="167" customWidth="1"/>
    <col min="1797" max="1797" width="12.7109375" style="167" customWidth="1"/>
    <col min="1798" max="1798" width="12.140625" style="167" customWidth="1"/>
    <col min="1799" max="1799" width="12.28515625" style="167" customWidth="1"/>
    <col min="1800" max="1800" width="12.5703125" style="167" customWidth="1"/>
    <col min="1801" max="1801" width="9.28515625" style="167" customWidth="1"/>
    <col min="1802" max="1802" width="7.28515625" style="167" customWidth="1"/>
    <col min="1803" max="1803" width="8.28515625" style="167" customWidth="1"/>
    <col min="1804" max="1804" width="7.28515625" style="167" customWidth="1"/>
    <col min="1805" max="1805" width="8.42578125" style="167" customWidth="1"/>
    <col min="1806" max="1806" width="8.7109375" style="167" customWidth="1"/>
    <col min="1807" max="1807" width="10.140625" style="167" customWidth="1"/>
    <col min="1808" max="1808" width="8" style="167" customWidth="1"/>
    <col min="1809" max="1809" width="6.42578125" style="167" customWidth="1"/>
    <col min="1810" max="2048" width="9.140625" style="167"/>
    <col min="2049" max="2049" width="4.5703125" style="167" customWidth="1"/>
    <col min="2050" max="2050" width="32.7109375" style="167" customWidth="1"/>
    <col min="2051" max="2051" width="13.7109375" style="167" customWidth="1"/>
    <col min="2052" max="2052" width="12" style="167" customWidth="1"/>
    <col min="2053" max="2053" width="12.7109375" style="167" customWidth="1"/>
    <col min="2054" max="2054" width="12.140625" style="167" customWidth="1"/>
    <col min="2055" max="2055" width="12.28515625" style="167" customWidth="1"/>
    <col min="2056" max="2056" width="12.5703125" style="167" customWidth="1"/>
    <col min="2057" max="2057" width="9.28515625" style="167" customWidth="1"/>
    <col min="2058" max="2058" width="7.28515625" style="167" customWidth="1"/>
    <col min="2059" max="2059" width="8.28515625" style="167" customWidth="1"/>
    <col min="2060" max="2060" width="7.28515625" style="167" customWidth="1"/>
    <col min="2061" max="2061" width="8.42578125" style="167" customWidth="1"/>
    <col min="2062" max="2062" width="8.7109375" style="167" customWidth="1"/>
    <col min="2063" max="2063" width="10.140625" style="167" customWidth="1"/>
    <col min="2064" max="2064" width="8" style="167" customWidth="1"/>
    <col min="2065" max="2065" width="6.42578125" style="167" customWidth="1"/>
    <col min="2066" max="2304" width="9.140625" style="167"/>
    <col min="2305" max="2305" width="4.5703125" style="167" customWidth="1"/>
    <col min="2306" max="2306" width="32.7109375" style="167" customWidth="1"/>
    <col min="2307" max="2307" width="13.7109375" style="167" customWidth="1"/>
    <col min="2308" max="2308" width="12" style="167" customWidth="1"/>
    <col min="2309" max="2309" width="12.7109375" style="167" customWidth="1"/>
    <col min="2310" max="2310" width="12.140625" style="167" customWidth="1"/>
    <col min="2311" max="2311" width="12.28515625" style="167" customWidth="1"/>
    <col min="2312" max="2312" width="12.5703125" style="167" customWidth="1"/>
    <col min="2313" max="2313" width="9.28515625" style="167" customWidth="1"/>
    <col min="2314" max="2314" width="7.28515625" style="167" customWidth="1"/>
    <col min="2315" max="2315" width="8.28515625" style="167" customWidth="1"/>
    <col min="2316" max="2316" width="7.28515625" style="167" customWidth="1"/>
    <col min="2317" max="2317" width="8.42578125" style="167" customWidth="1"/>
    <col min="2318" max="2318" width="8.7109375" style="167" customWidth="1"/>
    <col min="2319" max="2319" width="10.140625" style="167" customWidth="1"/>
    <col min="2320" max="2320" width="8" style="167" customWidth="1"/>
    <col min="2321" max="2321" width="6.42578125" style="167" customWidth="1"/>
    <col min="2322" max="2560" width="9.140625" style="167"/>
    <col min="2561" max="2561" width="4.5703125" style="167" customWidth="1"/>
    <col min="2562" max="2562" width="32.7109375" style="167" customWidth="1"/>
    <col min="2563" max="2563" width="13.7109375" style="167" customWidth="1"/>
    <col min="2564" max="2564" width="12" style="167" customWidth="1"/>
    <col min="2565" max="2565" width="12.7109375" style="167" customWidth="1"/>
    <col min="2566" max="2566" width="12.140625" style="167" customWidth="1"/>
    <col min="2567" max="2567" width="12.28515625" style="167" customWidth="1"/>
    <col min="2568" max="2568" width="12.5703125" style="167" customWidth="1"/>
    <col min="2569" max="2569" width="9.28515625" style="167" customWidth="1"/>
    <col min="2570" max="2570" width="7.28515625" style="167" customWidth="1"/>
    <col min="2571" max="2571" width="8.28515625" style="167" customWidth="1"/>
    <col min="2572" max="2572" width="7.28515625" style="167" customWidth="1"/>
    <col min="2573" max="2573" width="8.42578125" style="167" customWidth="1"/>
    <col min="2574" max="2574" width="8.7109375" style="167" customWidth="1"/>
    <col min="2575" max="2575" width="10.140625" style="167" customWidth="1"/>
    <col min="2576" max="2576" width="8" style="167" customWidth="1"/>
    <col min="2577" max="2577" width="6.42578125" style="167" customWidth="1"/>
    <col min="2578" max="2816" width="9.140625" style="167"/>
    <col min="2817" max="2817" width="4.5703125" style="167" customWidth="1"/>
    <col min="2818" max="2818" width="32.7109375" style="167" customWidth="1"/>
    <col min="2819" max="2819" width="13.7109375" style="167" customWidth="1"/>
    <col min="2820" max="2820" width="12" style="167" customWidth="1"/>
    <col min="2821" max="2821" width="12.7109375" style="167" customWidth="1"/>
    <col min="2822" max="2822" width="12.140625" style="167" customWidth="1"/>
    <col min="2823" max="2823" width="12.28515625" style="167" customWidth="1"/>
    <col min="2824" max="2824" width="12.5703125" style="167" customWidth="1"/>
    <col min="2825" max="2825" width="9.28515625" style="167" customWidth="1"/>
    <col min="2826" max="2826" width="7.28515625" style="167" customWidth="1"/>
    <col min="2827" max="2827" width="8.28515625" style="167" customWidth="1"/>
    <col min="2828" max="2828" width="7.28515625" style="167" customWidth="1"/>
    <col min="2829" max="2829" width="8.42578125" style="167" customWidth="1"/>
    <col min="2830" max="2830" width="8.7109375" style="167" customWidth="1"/>
    <col min="2831" max="2831" width="10.140625" style="167" customWidth="1"/>
    <col min="2832" max="2832" width="8" style="167" customWidth="1"/>
    <col min="2833" max="2833" width="6.42578125" style="167" customWidth="1"/>
    <col min="2834" max="3072" width="9.140625" style="167"/>
    <col min="3073" max="3073" width="4.5703125" style="167" customWidth="1"/>
    <col min="3074" max="3074" width="32.7109375" style="167" customWidth="1"/>
    <col min="3075" max="3075" width="13.7109375" style="167" customWidth="1"/>
    <col min="3076" max="3076" width="12" style="167" customWidth="1"/>
    <col min="3077" max="3077" width="12.7109375" style="167" customWidth="1"/>
    <col min="3078" max="3078" width="12.140625" style="167" customWidth="1"/>
    <col min="3079" max="3079" width="12.28515625" style="167" customWidth="1"/>
    <col min="3080" max="3080" width="12.5703125" style="167" customWidth="1"/>
    <col min="3081" max="3081" width="9.28515625" style="167" customWidth="1"/>
    <col min="3082" max="3082" width="7.28515625" style="167" customWidth="1"/>
    <col min="3083" max="3083" width="8.28515625" style="167" customWidth="1"/>
    <col min="3084" max="3084" width="7.28515625" style="167" customWidth="1"/>
    <col min="3085" max="3085" width="8.42578125" style="167" customWidth="1"/>
    <col min="3086" max="3086" width="8.7109375" style="167" customWidth="1"/>
    <col min="3087" max="3087" width="10.140625" style="167" customWidth="1"/>
    <col min="3088" max="3088" width="8" style="167" customWidth="1"/>
    <col min="3089" max="3089" width="6.42578125" style="167" customWidth="1"/>
    <col min="3090" max="3328" width="9.140625" style="167"/>
    <col min="3329" max="3329" width="4.5703125" style="167" customWidth="1"/>
    <col min="3330" max="3330" width="32.7109375" style="167" customWidth="1"/>
    <col min="3331" max="3331" width="13.7109375" style="167" customWidth="1"/>
    <col min="3332" max="3332" width="12" style="167" customWidth="1"/>
    <col min="3333" max="3333" width="12.7109375" style="167" customWidth="1"/>
    <col min="3334" max="3334" width="12.140625" style="167" customWidth="1"/>
    <col min="3335" max="3335" width="12.28515625" style="167" customWidth="1"/>
    <col min="3336" max="3336" width="12.5703125" style="167" customWidth="1"/>
    <col min="3337" max="3337" width="9.28515625" style="167" customWidth="1"/>
    <col min="3338" max="3338" width="7.28515625" style="167" customWidth="1"/>
    <col min="3339" max="3339" width="8.28515625" style="167" customWidth="1"/>
    <col min="3340" max="3340" width="7.28515625" style="167" customWidth="1"/>
    <col min="3341" max="3341" width="8.42578125" style="167" customWidth="1"/>
    <col min="3342" max="3342" width="8.7109375" style="167" customWidth="1"/>
    <col min="3343" max="3343" width="10.140625" style="167" customWidth="1"/>
    <col min="3344" max="3344" width="8" style="167" customWidth="1"/>
    <col min="3345" max="3345" width="6.42578125" style="167" customWidth="1"/>
    <col min="3346" max="3584" width="9.140625" style="167"/>
    <col min="3585" max="3585" width="4.5703125" style="167" customWidth="1"/>
    <col min="3586" max="3586" width="32.7109375" style="167" customWidth="1"/>
    <col min="3587" max="3587" width="13.7109375" style="167" customWidth="1"/>
    <col min="3588" max="3588" width="12" style="167" customWidth="1"/>
    <col min="3589" max="3589" width="12.7109375" style="167" customWidth="1"/>
    <col min="3590" max="3590" width="12.140625" style="167" customWidth="1"/>
    <col min="3591" max="3591" width="12.28515625" style="167" customWidth="1"/>
    <col min="3592" max="3592" width="12.5703125" style="167" customWidth="1"/>
    <col min="3593" max="3593" width="9.28515625" style="167" customWidth="1"/>
    <col min="3594" max="3594" width="7.28515625" style="167" customWidth="1"/>
    <col min="3595" max="3595" width="8.28515625" style="167" customWidth="1"/>
    <col min="3596" max="3596" width="7.28515625" style="167" customWidth="1"/>
    <col min="3597" max="3597" width="8.42578125" style="167" customWidth="1"/>
    <col min="3598" max="3598" width="8.7109375" style="167" customWidth="1"/>
    <col min="3599" max="3599" width="10.140625" style="167" customWidth="1"/>
    <col min="3600" max="3600" width="8" style="167" customWidth="1"/>
    <col min="3601" max="3601" width="6.42578125" style="167" customWidth="1"/>
    <col min="3602" max="3840" width="9.140625" style="167"/>
    <col min="3841" max="3841" width="4.5703125" style="167" customWidth="1"/>
    <col min="3842" max="3842" width="32.7109375" style="167" customWidth="1"/>
    <col min="3843" max="3843" width="13.7109375" style="167" customWidth="1"/>
    <col min="3844" max="3844" width="12" style="167" customWidth="1"/>
    <col min="3845" max="3845" width="12.7109375" style="167" customWidth="1"/>
    <col min="3846" max="3846" width="12.140625" style="167" customWidth="1"/>
    <col min="3847" max="3847" width="12.28515625" style="167" customWidth="1"/>
    <col min="3848" max="3848" width="12.5703125" style="167" customWidth="1"/>
    <col min="3849" max="3849" width="9.28515625" style="167" customWidth="1"/>
    <col min="3850" max="3850" width="7.28515625" style="167" customWidth="1"/>
    <col min="3851" max="3851" width="8.28515625" style="167" customWidth="1"/>
    <col min="3852" max="3852" width="7.28515625" style="167" customWidth="1"/>
    <col min="3853" max="3853" width="8.42578125" style="167" customWidth="1"/>
    <col min="3854" max="3854" width="8.7109375" style="167" customWidth="1"/>
    <col min="3855" max="3855" width="10.140625" style="167" customWidth="1"/>
    <col min="3856" max="3856" width="8" style="167" customWidth="1"/>
    <col min="3857" max="3857" width="6.42578125" style="167" customWidth="1"/>
    <col min="3858" max="4096" width="9.140625" style="167"/>
    <col min="4097" max="4097" width="4.5703125" style="167" customWidth="1"/>
    <col min="4098" max="4098" width="32.7109375" style="167" customWidth="1"/>
    <col min="4099" max="4099" width="13.7109375" style="167" customWidth="1"/>
    <col min="4100" max="4100" width="12" style="167" customWidth="1"/>
    <col min="4101" max="4101" width="12.7109375" style="167" customWidth="1"/>
    <col min="4102" max="4102" width="12.140625" style="167" customWidth="1"/>
    <col min="4103" max="4103" width="12.28515625" style="167" customWidth="1"/>
    <col min="4104" max="4104" width="12.5703125" style="167" customWidth="1"/>
    <col min="4105" max="4105" width="9.28515625" style="167" customWidth="1"/>
    <col min="4106" max="4106" width="7.28515625" style="167" customWidth="1"/>
    <col min="4107" max="4107" width="8.28515625" style="167" customWidth="1"/>
    <col min="4108" max="4108" width="7.28515625" style="167" customWidth="1"/>
    <col min="4109" max="4109" width="8.42578125" style="167" customWidth="1"/>
    <col min="4110" max="4110" width="8.7109375" style="167" customWidth="1"/>
    <col min="4111" max="4111" width="10.140625" style="167" customWidth="1"/>
    <col min="4112" max="4112" width="8" style="167" customWidth="1"/>
    <col min="4113" max="4113" width="6.42578125" style="167" customWidth="1"/>
    <col min="4114" max="4352" width="9.140625" style="167"/>
    <col min="4353" max="4353" width="4.5703125" style="167" customWidth="1"/>
    <col min="4354" max="4354" width="32.7109375" style="167" customWidth="1"/>
    <col min="4355" max="4355" width="13.7109375" style="167" customWidth="1"/>
    <col min="4356" max="4356" width="12" style="167" customWidth="1"/>
    <col min="4357" max="4357" width="12.7109375" style="167" customWidth="1"/>
    <col min="4358" max="4358" width="12.140625" style="167" customWidth="1"/>
    <col min="4359" max="4359" width="12.28515625" style="167" customWidth="1"/>
    <col min="4360" max="4360" width="12.5703125" style="167" customWidth="1"/>
    <col min="4361" max="4361" width="9.28515625" style="167" customWidth="1"/>
    <col min="4362" max="4362" width="7.28515625" style="167" customWidth="1"/>
    <col min="4363" max="4363" width="8.28515625" style="167" customWidth="1"/>
    <col min="4364" max="4364" width="7.28515625" style="167" customWidth="1"/>
    <col min="4365" max="4365" width="8.42578125" style="167" customWidth="1"/>
    <col min="4366" max="4366" width="8.7109375" style="167" customWidth="1"/>
    <col min="4367" max="4367" width="10.140625" style="167" customWidth="1"/>
    <col min="4368" max="4368" width="8" style="167" customWidth="1"/>
    <col min="4369" max="4369" width="6.42578125" style="167" customWidth="1"/>
    <col min="4370" max="4608" width="9.140625" style="167"/>
    <col min="4609" max="4609" width="4.5703125" style="167" customWidth="1"/>
    <col min="4610" max="4610" width="32.7109375" style="167" customWidth="1"/>
    <col min="4611" max="4611" width="13.7109375" style="167" customWidth="1"/>
    <col min="4612" max="4612" width="12" style="167" customWidth="1"/>
    <col min="4613" max="4613" width="12.7109375" style="167" customWidth="1"/>
    <col min="4614" max="4614" width="12.140625" style="167" customWidth="1"/>
    <col min="4615" max="4615" width="12.28515625" style="167" customWidth="1"/>
    <col min="4616" max="4616" width="12.5703125" style="167" customWidth="1"/>
    <col min="4617" max="4617" width="9.28515625" style="167" customWidth="1"/>
    <col min="4618" max="4618" width="7.28515625" style="167" customWidth="1"/>
    <col min="4619" max="4619" width="8.28515625" style="167" customWidth="1"/>
    <col min="4620" max="4620" width="7.28515625" style="167" customWidth="1"/>
    <col min="4621" max="4621" width="8.42578125" style="167" customWidth="1"/>
    <col min="4622" max="4622" width="8.7109375" style="167" customWidth="1"/>
    <col min="4623" max="4623" width="10.140625" style="167" customWidth="1"/>
    <col min="4624" max="4624" width="8" style="167" customWidth="1"/>
    <col min="4625" max="4625" width="6.42578125" style="167" customWidth="1"/>
    <col min="4626" max="4864" width="9.140625" style="167"/>
    <col min="4865" max="4865" width="4.5703125" style="167" customWidth="1"/>
    <col min="4866" max="4866" width="32.7109375" style="167" customWidth="1"/>
    <col min="4867" max="4867" width="13.7109375" style="167" customWidth="1"/>
    <col min="4868" max="4868" width="12" style="167" customWidth="1"/>
    <col min="4869" max="4869" width="12.7109375" style="167" customWidth="1"/>
    <col min="4870" max="4870" width="12.140625" style="167" customWidth="1"/>
    <col min="4871" max="4871" width="12.28515625" style="167" customWidth="1"/>
    <col min="4872" max="4872" width="12.5703125" style="167" customWidth="1"/>
    <col min="4873" max="4873" width="9.28515625" style="167" customWidth="1"/>
    <col min="4874" max="4874" width="7.28515625" style="167" customWidth="1"/>
    <col min="4875" max="4875" width="8.28515625" style="167" customWidth="1"/>
    <col min="4876" max="4876" width="7.28515625" style="167" customWidth="1"/>
    <col min="4877" max="4877" width="8.42578125" style="167" customWidth="1"/>
    <col min="4878" max="4878" width="8.7109375" style="167" customWidth="1"/>
    <col min="4879" max="4879" width="10.140625" style="167" customWidth="1"/>
    <col min="4880" max="4880" width="8" style="167" customWidth="1"/>
    <col min="4881" max="4881" width="6.42578125" style="167" customWidth="1"/>
    <col min="4882" max="5120" width="9.140625" style="167"/>
    <col min="5121" max="5121" width="4.5703125" style="167" customWidth="1"/>
    <col min="5122" max="5122" width="32.7109375" style="167" customWidth="1"/>
    <col min="5123" max="5123" width="13.7109375" style="167" customWidth="1"/>
    <col min="5124" max="5124" width="12" style="167" customWidth="1"/>
    <col min="5125" max="5125" width="12.7109375" style="167" customWidth="1"/>
    <col min="5126" max="5126" width="12.140625" style="167" customWidth="1"/>
    <col min="5127" max="5127" width="12.28515625" style="167" customWidth="1"/>
    <col min="5128" max="5128" width="12.5703125" style="167" customWidth="1"/>
    <col min="5129" max="5129" width="9.28515625" style="167" customWidth="1"/>
    <col min="5130" max="5130" width="7.28515625" style="167" customWidth="1"/>
    <col min="5131" max="5131" width="8.28515625" style="167" customWidth="1"/>
    <col min="5132" max="5132" width="7.28515625" style="167" customWidth="1"/>
    <col min="5133" max="5133" width="8.42578125" style="167" customWidth="1"/>
    <col min="5134" max="5134" width="8.7109375" style="167" customWidth="1"/>
    <col min="5135" max="5135" width="10.140625" style="167" customWidth="1"/>
    <col min="5136" max="5136" width="8" style="167" customWidth="1"/>
    <col min="5137" max="5137" width="6.42578125" style="167" customWidth="1"/>
    <col min="5138" max="5376" width="9.140625" style="167"/>
    <col min="5377" max="5377" width="4.5703125" style="167" customWidth="1"/>
    <col min="5378" max="5378" width="32.7109375" style="167" customWidth="1"/>
    <col min="5379" max="5379" width="13.7109375" style="167" customWidth="1"/>
    <col min="5380" max="5380" width="12" style="167" customWidth="1"/>
    <col min="5381" max="5381" width="12.7109375" style="167" customWidth="1"/>
    <col min="5382" max="5382" width="12.140625" style="167" customWidth="1"/>
    <col min="5383" max="5383" width="12.28515625" style="167" customWidth="1"/>
    <col min="5384" max="5384" width="12.5703125" style="167" customWidth="1"/>
    <col min="5385" max="5385" width="9.28515625" style="167" customWidth="1"/>
    <col min="5386" max="5386" width="7.28515625" style="167" customWidth="1"/>
    <col min="5387" max="5387" width="8.28515625" style="167" customWidth="1"/>
    <col min="5388" max="5388" width="7.28515625" style="167" customWidth="1"/>
    <col min="5389" max="5389" width="8.42578125" style="167" customWidth="1"/>
    <col min="5390" max="5390" width="8.7109375" style="167" customWidth="1"/>
    <col min="5391" max="5391" width="10.140625" style="167" customWidth="1"/>
    <col min="5392" max="5392" width="8" style="167" customWidth="1"/>
    <col min="5393" max="5393" width="6.42578125" style="167" customWidth="1"/>
    <col min="5394" max="5632" width="9.140625" style="167"/>
    <col min="5633" max="5633" width="4.5703125" style="167" customWidth="1"/>
    <col min="5634" max="5634" width="32.7109375" style="167" customWidth="1"/>
    <col min="5635" max="5635" width="13.7109375" style="167" customWidth="1"/>
    <col min="5636" max="5636" width="12" style="167" customWidth="1"/>
    <col min="5637" max="5637" width="12.7109375" style="167" customWidth="1"/>
    <col min="5638" max="5638" width="12.140625" style="167" customWidth="1"/>
    <col min="5639" max="5639" width="12.28515625" style="167" customWidth="1"/>
    <col min="5640" max="5640" width="12.5703125" style="167" customWidth="1"/>
    <col min="5641" max="5641" width="9.28515625" style="167" customWidth="1"/>
    <col min="5642" max="5642" width="7.28515625" style="167" customWidth="1"/>
    <col min="5643" max="5643" width="8.28515625" style="167" customWidth="1"/>
    <col min="5644" max="5644" width="7.28515625" style="167" customWidth="1"/>
    <col min="5645" max="5645" width="8.42578125" style="167" customWidth="1"/>
    <col min="5646" max="5646" width="8.7109375" style="167" customWidth="1"/>
    <col min="5647" max="5647" width="10.140625" style="167" customWidth="1"/>
    <col min="5648" max="5648" width="8" style="167" customWidth="1"/>
    <col min="5649" max="5649" width="6.42578125" style="167" customWidth="1"/>
    <col min="5650" max="5888" width="9.140625" style="167"/>
    <col min="5889" max="5889" width="4.5703125" style="167" customWidth="1"/>
    <col min="5890" max="5890" width="32.7109375" style="167" customWidth="1"/>
    <col min="5891" max="5891" width="13.7109375" style="167" customWidth="1"/>
    <col min="5892" max="5892" width="12" style="167" customWidth="1"/>
    <col min="5893" max="5893" width="12.7109375" style="167" customWidth="1"/>
    <col min="5894" max="5894" width="12.140625" style="167" customWidth="1"/>
    <col min="5895" max="5895" width="12.28515625" style="167" customWidth="1"/>
    <col min="5896" max="5896" width="12.5703125" style="167" customWidth="1"/>
    <col min="5897" max="5897" width="9.28515625" style="167" customWidth="1"/>
    <col min="5898" max="5898" width="7.28515625" style="167" customWidth="1"/>
    <col min="5899" max="5899" width="8.28515625" style="167" customWidth="1"/>
    <col min="5900" max="5900" width="7.28515625" style="167" customWidth="1"/>
    <col min="5901" max="5901" width="8.42578125" style="167" customWidth="1"/>
    <col min="5902" max="5902" width="8.7109375" style="167" customWidth="1"/>
    <col min="5903" max="5903" width="10.140625" style="167" customWidth="1"/>
    <col min="5904" max="5904" width="8" style="167" customWidth="1"/>
    <col min="5905" max="5905" width="6.42578125" style="167" customWidth="1"/>
    <col min="5906" max="6144" width="9.140625" style="167"/>
    <col min="6145" max="6145" width="4.5703125" style="167" customWidth="1"/>
    <col min="6146" max="6146" width="32.7109375" style="167" customWidth="1"/>
    <col min="6147" max="6147" width="13.7109375" style="167" customWidth="1"/>
    <col min="6148" max="6148" width="12" style="167" customWidth="1"/>
    <col min="6149" max="6149" width="12.7109375" style="167" customWidth="1"/>
    <col min="6150" max="6150" width="12.140625" style="167" customWidth="1"/>
    <col min="6151" max="6151" width="12.28515625" style="167" customWidth="1"/>
    <col min="6152" max="6152" width="12.5703125" style="167" customWidth="1"/>
    <col min="6153" max="6153" width="9.28515625" style="167" customWidth="1"/>
    <col min="6154" max="6154" width="7.28515625" style="167" customWidth="1"/>
    <col min="6155" max="6155" width="8.28515625" style="167" customWidth="1"/>
    <col min="6156" max="6156" width="7.28515625" style="167" customWidth="1"/>
    <col min="6157" max="6157" width="8.42578125" style="167" customWidth="1"/>
    <col min="6158" max="6158" width="8.7109375" style="167" customWidth="1"/>
    <col min="6159" max="6159" width="10.140625" style="167" customWidth="1"/>
    <col min="6160" max="6160" width="8" style="167" customWidth="1"/>
    <col min="6161" max="6161" width="6.42578125" style="167" customWidth="1"/>
    <col min="6162" max="6400" width="9.140625" style="167"/>
    <col min="6401" max="6401" width="4.5703125" style="167" customWidth="1"/>
    <col min="6402" max="6402" width="32.7109375" style="167" customWidth="1"/>
    <col min="6403" max="6403" width="13.7109375" style="167" customWidth="1"/>
    <col min="6404" max="6404" width="12" style="167" customWidth="1"/>
    <col min="6405" max="6405" width="12.7109375" style="167" customWidth="1"/>
    <col min="6406" max="6406" width="12.140625" style="167" customWidth="1"/>
    <col min="6407" max="6407" width="12.28515625" style="167" customWidth="1"/>
    <col min="6408" max="6408" width="12.5703125" style="167" customWidth="1"/>
    <col min="6409" max="6409" width="9.28515625" style="167" customWidth="1"/>
    <col min="6410" max="6410" width="7.28515625" style="167" customWidth="1"/>
    <col min="6411" max="6411" width="8.28515625" style="167" customWidth="1"/>
    <col min="6412" max="6412" width="7.28515625" style="167" customWidth="1"/>
    <col min="6413" max="6413" width="8.42578125" style="167" customWidth="1"/>
    <col min="6414" max="6414" width="8.7109375" style="167" customWidth="1"/>
    <col min="6415" max="6415" width="10.140625" style="167" customWidth="1"/>
    <col min="6416" max="6416" width="8" style="167" customWidth="1"/>
    <col min="6417" max="6417" width="6.42578125" style="167" customWidth="1"/>
    <col min="6418" max="6656" width="9.140625" style="167"/>
    <col min="6657" max="6657" width="4.5703125" style="167" customWidth="1"/>
    <col min="6658" max="6658" width="32.7109375" style="167" customWidth="1"/>
    <col min="6659" max="6659" width="13.7109375" style="167" customWidth="1"/>
    <col min="6660" max="6660" width="12" style="167" customWidth="1"/>
    <col min="6661" max="6661" width="12.7109375" style="167" customWidth="1"/>
    <col min="6662" max="6662" width="12.140625" style="167" customWidth="1"/>
    <col min="6663" max="6663" width="12.28515625" style="167" customWidth="1"/>
    <col min="6664" max="6664" width="12.5703125" style="167" customWidth="1"/>
    <col min="6665" max="6665" width="9.28515625" style="167" customWidth="1"/>
    <col min="6666" max="6666" width="7.28515625" style="167" customWidth="1"/>
    <col min="6667" max="6667" width="8.28515625" style="167" customWidth="1"/>
    <col min="6668" max="6668" width="7.28515625" style="167" customWidth="1"/>
    <col min="6669" max="6669" width="8.42578125" style="167" customWidth="1"/>
    <col min="6670" max="6670" width="8.7109375" style="167" customWidth="1"/>
    <col min="6671" max="6671" width="10.140625" style="167" customWidth="1"/>
    <col min="6672" max="6672" width="8" style="167" customWidth="1"/>
    <col min="6673" max="6673" width="6.42578125" style="167" customWidth="1"/>
    <col min="6674" max="6912" width="9.140625" style="167"/>
    <col min="6913" max="6913" width="4.5703125" style="167" customWidth="1"/>
    <col min="6914" max="6914" width="32.7109375" style="167" customWidth="1"/>
    <col min="6915" max="6915" width="13.7109375" style="167" customWidth="1"/>
    <col min="6916" max="6916" width="12" style="167" customWidth="1"/>
    <col min="6917" max="6917" width="12.7109375" style="167" customWidth="1"/>
    <col min="6918" max="6918" width="12.140625" style="167" customWidth="1"/>
    <col min="6919" max="6919" width="12.28515625" style="167" customWidth="1"/>
    <col min="6920" max="6920" width="12.5703125" style="167" customWidth="1"/>
    <col min="6921" max="6921" width="9.28515625" style="167" customWidth="1"/>
    <col min="6922" max="6922" width="7.28515625" style="167" customWidth="1"/>
    <col min="6923" max="6923" width="8.28515625" style="167" customWidth="1"/>
    <col min="6924" max="6924" width="7.28515625" style="167" customWidth="1"/>
    <col min="6925" max="6925" width="8.42578125" style="167" customWidth="1"/>
    <col min="6926" max="6926" width="8.7109375" style="167" customWidth="1"/>
    <col min="6927" max="6927" width="10.140625" style="167" customWidth="1"/>
    <col min="6928" max="6928" width="8" style="167" customWidth="1"/>
    <col min="6929" max="6929" width="6.42578125" style="167" customWidth="1"/>
    <col min="6930" max="7168" width="9.140625" style="167"/>
    <col min="7169" max="7169" width="4.5703125" style="167" customWidth="1"/>
    <col min="7170" max="7170" width="32.7109375" style="167" customWidth="1"/>
    <col min="7171" max="7171" width="13.7109375" style="167" customWidth="1"/>
    <col min="7172" max="7172" width="12" style="167" customWidth="1"/>
    <col min="7173" max="7173" width="12.7109375" style="167" customWidth="1"/>
    <col min="7174" max="7174" width="12.140625" style="167" customWidth="1"/>
    <col min="7175" max="7175" width="12.28515625" style="167" customWidth="1"/>
    <col min="7176" max="7176" width="12.5703125" style="167" customWidth="1"/>
    <col min="7177" max="7177" width="9.28515625" style="167" customWidth="1"/>
    <col min="7178" max="7178" width="7.28515625" style="167" customWidth="1"/>
    <col min="7179" max="7179" width="8.28515625" style="167" customWidth="1"/>
    <col min="7180" max="7180" width="7.28515625" style="167" customWidth="1"/>
    <col min="7181" max="7181" width="8.42578125" style="167" customWidth="1"/>
    <col min="7182" max="7182" width="8.7109375" style="167" customWidth="1"/>
    <col min="7183" max="7183" width="10.140625" style="167" customWidth="1"/>
    <col min="7184" max="7184" width="8" style="167" customWidth="1"/>
    <col min="7185" max="7185" width="6.42578125" style="167" customWidth="1"/>
    <col min="7186" max="7424" width="9.140625" style="167"/>
    <col min="7425" max="7425" width="4.5703125" style="167" customWidth="1"/>
    <col min="7426" max="7426" width="32.7109375" style="167" customWidth="1"/>
    <col min="7427" max="7427" width="13.7109375" style="167" customWidth="1"/>
    <col min="7428" max="7428" width="12" style="167" customWidth="1"/>
    <col min="7429" max="7429" width="12.7109375" style="167" customWidth="1"/>
    <col min="7430" max="7430" width="12.140625" style="167" customWidth="1"/>
    <col min="7431" max="7431" width="12.28515625" style="167" customWidth="1"/>
    <col min="7432" max="7432" width="12.5703125" style="167" customWidth="1"/>
    <col min="7433" max="7433" width="9.28515625" style="167" customWidth="1"/>
    <col min="7434" max="7434" width="7.28515625" style="167" customWidth="1"/>
    <col min="7435" max="7435" width="8.28515625" style="167" customWidth="1"/>
    <col min="7436" max="7436" width="7.28515625" style="167" customWidth="1"/>
    <col min="7437" max="7437" width="8.42578125" style="167" customWidth="1"/>
    <col min="7438" max="7438" width="8.7109375" style="167" customWidth="1"/>
    <col min="7439" max="7439" width="10.140625" style="167" customWidth="1"/>
    <col min="7440" max="7440" width="8" style="167" customWidth="1"/>
    <col min="7441" max="7441" width="6.42578125" style="167" customWidth="1"/>
    <col min="7442" max="7680" width="9.140625" style="167"/>
    <col min="7681" max="7681" width="4.5703125" style="167" customWidth="1"/>
    <col min="7682" max="7682" width="32.7109375" style="167" customWidth="1"/>
    <col min="7683" max="7683" width="13.7109375" style="167" customWidth="1"/>
    <col min="7684" max="7684" width="12" style="167" customWidth="1"/>
    <col min="7685" max="7685" width="12.7109375" style="167" customWidth="1"/>
    <col min="7686" max="7686" width="12.140625" style="167" customWidth="1"/>
    <col min="7687" max="7687" width="12.28515625" style="167" customWidth="1"/>
    <col min="7688" max="7688" width="12.5703125" style="167" customWidth="1"/>
    <col min="7689" max="7689" width="9.28515625" style="167" customWidth="1"/>
    <col min="7690" max="7690" width="7.28515625" style="167" customWidth="1"/>
    <col min="7691" max="7691" width="8.28515625" style="167" customWidth="1"/>
    <col min="7692" max="7692" width="7.28515625" style="167" customWidth="1"/>
    <col min="7693" max="7693" width="8.42578125" style="167" customWidth="1"/>
    <col min="7694" max="7694" width="8.7109375" style="167" customWidth="1"/>
    <col min="7695" max="7695" width="10.140625" style="167" customWidth="1"/>
    <col min="7696" max="7696" width="8" style="167" customWidth="1"/>
    <col min="7697" max="7697" width="6.42578125" style="167" customWidth="1"/>
    <col min="7698" max="7936" width="9.140625" style="167"/>
    <col min="7937" max="7937" width="4.5703125" style="167" customWidth="1"/>
    <col min="7938" max="7938" width="32.7109375" style="167" customWidth="1"/>
    <col min="7939" max="7939" width="13.7109375" style="167" customWidth="1"/>
    <col min="7940" max="7940" width="12" style="167" customWidth="1"/>
    <col min="7941" max="7941" width="12.7109375" style="167" customWidth="1"/>
    <col min="7942" max="7942" width="12.140625" style="167" customWidth="1"/>
    <col min="7943" max="7943" width="12.28515625" style="167" customWidth="1"/>
    <col min="7944" max="7944" width="12.5703125" style="167" customWidth="1"/>
    <col min="7945" max="7945" width="9.28515625" style="167" customWidth="1"/>
    <col min="7946" max="7946" width="7.28515625" style="167" customWidth="1"/>
    <col min="7947" max="7947" width="8.28515625" style="167" customWidth="1"/>
    <col min="7948" max="7948" width="7.28515625" style="167" customWidth="1"/>
    <col min="7949" max="7949" width="8.42578125" style="167" customWidth="1"/>
    <col min="7950" max="7950" width="8.7109375" style="167" customWidth="1"/>
    <col min="7951" max="7951" width="10.140625" style="167" customWidth="1"/>
    <col min="7952" max="7952" width="8" style="167" customWidth="1"/>
    <col min="7953" max="7953" width="6.42578125" style="167" customWidth="1"/>
    <col min="7954" max="8192" width="9.140625" style="167"/>
    <col min="8193" max="8193" width="4.5703125" style="167" customWidth="1"/>
    <col min="8194" max="8194" width="32.7109375" style="167" customWidth="1"/>
    <col min="8195" max="8195" width="13.7109375" style="167" customWidth="1"/>
    <col min="8196" max="8196" width="12" style="167" customWidth="1"/>
    <col min="8197" max="8197" width="12.7109375" style="167" customWidth="1"/>
    <col min="8198" max="8198" width="12.140625" style="167" customWidth="1"/>
    <col min="8199" max="8199" width="12.28515625" style="167" customWidth="1"/>
    <col min="8200" max="8200" width="12.5703125" style="167" customWidth="1"/>
    <col min="8201" max="8201" width="9.28515625" style="167" customWidth="1"/>
    <col min="8202" max="8202" width="7.28515625" style="167" customWidth="1"/>
    <col min="8203" max="8203" width="8.28515625" style="167" customWidth="1"/>
    <col min="8204" max="8204" width="7.28515625" style="167" customWidth="1"/>
    <col min="8205" max="8205" width="8.42578125" style="167" customWidth="1"/>
    <col min="8206" max="8206" width="8.7109375" style="167" customWidth="1"/>
    <col min="8207" max="8207" width="10.140625" style="167" customWidth="1"/>
    <col min="8208" max="8208" width="8" style="167" customWidth="1"/>
    <col min="8209" max="8209" width="6.42578125" style="167" customWidth="1"/>
    <col min="8210" max="8448" width="9.140625" style="167"/>
    <col min="8449" max="8449" width="4.5703125" style="167" customWidth="1"/>
    <col min="8450" max="8450" width="32.7109375" style="167" customWidth="1"/>
    <col min="8451" max="8451" width="13.7109375" style="167" customWidth="1"/>
    <col min="8452" max="8452" width="12" style="167" customWidth="1"/>
    <col min="8453" max="8453" width="12.7109375" style="167" customWidth="1"/>
    <col min="8454" max="8454" width="12.140625" style="167" customWidth="1"/>
    <col min="8455" max="8455" width="12.28515625" style="167" customWidth="1"/>
    <col min="8456" max="8456" width="12.5703125" style="167" customWidth="1"/>
    <col min="8457" max="8457" width="9.28515625" style="167" customWidth="1"/>
    <col min="8458" max="8458" width="7.28515625" style="167" customWidth="1"/>
    <col min="8459" max="8459" width="8.28515625" style="167" customWidth="1"/>
    <col min="8460" max="8460" width="7.28515625" style="167" customWidth="1"/>
    <col min="8461" max="8461" width="8.42578125" style="167" customWidth="1"/>
    <col min="8462" max="8462" width="8.7109375" style="167" customWidth="1"/>
    <col min="8463" max="8463" width="10.140625" style="167" customWidth="1"/>
    <col min="8464" max="8464" width="8" style="167" customWidth="1"/>
    <col min="8465" max="8465" width="6.42578125" style="167" customWidth="1"/>
    <col min="8466" max="8704" width="9.140625" style="167"/>
    <col min="8705" max="8705" width="4.5703125" style="167" customWidth="1"/>
    <col min="8706" max="8706" width="32.7109375" style="167" customWidth="1"/>
    <col min="8707" max="8707" width="13.7109375" style="167" customWidth="1"/>
    <col min="8708" max="8708" width="12" style="167" customWidth="1"/>
    <col min="8709" max="8709" width="12.7109375" style="167" customWidth="1"/>
    <col min="8710" max="8710" width="12.140625" style="167" customWidth="1"/>
    <col min="8711" max="8711" width="12.28515625" style="167" customWidth="1"/>
    <col min="8712" max="8712" width="12.5703125" style="167" customWidth="1"/>
    <col min="8713" max="8713" width="9.28515625" style="167" customWidth="1"/>
    <col min="8714" max="8714" width="7.28515625" style="167" customWidth="1"/>
    <col min="8715" max="8715" width="8.28515625" style="167" customWidth="1"/>
    <col min="8716" max="8716" width="7.28515625" style="167" customWidth="1"/>
    <col min="8717" max="8717" width="8.42578125" style="167" customWidth="1"/>
    <col min="8718" max="8718" width="8.7109375" style="167" customWidth="1"/>
    <col min="8719" max="8719" width="10.140625" style="167" customWidth="1"/>
    <col min="8720" max="8720" width="8" style="167" customWidth="1"/>
    <col min="8721" max="8721" width="6.42578125" style="167" customWidth="1"/>
    <col min="8722" max="8960" width="9.140625" style="167"/>
    <col min="8961" max="8961" width="4.5703125" style="167" customWidth="1"/>
    <col min="8962" max="8962" width="32.7109375" style="167" customWidth="1"/>
    <col min="8963" max="8963" width="13.7109375" style="167" customWidth="1"/>
    <col min="8964" max="8964" width="12" style="167" customWidth="1"/>
    <col min="8965" max="8965" width="12.7109375" style="167" customWidth="1"/>
    <col min="8966" max="8966" width="12.140625" style="167" customWidth="1"/>
    <col min="8967" max="8967" width="12.28515625" style="167" customWidth="1"/>
    <col min="8968" max="8968" width="12.5703125" style="167" customWidth="1"/>
    <col min="8969" max="8969" width="9.28515625" style="167" customWidth="1"/>
    <col min="8970" max="8970" width="7.28515625" style="167" customWidth="1"/>
    <col min="8971" max="8971" width="8.28515625" style="167" customWidth="1"/>
    <col min="8972" max="8972" width="7.28515625" style="167" customWidth="1"/>
    <col min="8973" max="8973" width="8.42578125" style="167" customWidth="1"/>
    <col min="8974" max="8974" width="8.7109375" style="167" customWidth="1"/>
    <col min="8975" max="8975" width="10.140625" style="167" customWidth="1"/>
    <col min="8976" max="8976" width="8" style="167" customWidth="1"/>
    <col min="8977" max="8977" width="6.42578125" style="167" customWidth="1"/>
    <col min="8978" max="9216" width="9.140625" style="167"/>
    <col min="9217" max="9217" width="4.5703125" style="167" customWidth="1"/>
    <col min="9218" max="9218" width="32.7109375" style="167" customWidth="1"/>
    <col min="9219" max="9219" width="13.7109375" style="167" customWidth="1"/>
    <col min="9220" max="9220" width="12" style="167" customWidth="1"/>
    <col min="9221" max="9221" width="12.7109375" style="167" customWidth="1"/>
    <col min="9222" max="9222" width="12.140625" style="167" customWidth="1"/>
    <col min="9223" max="9223" width="12.28515625" style="167" customWidth="1"/>
    <col min="9224" max="9224" width="12.5703125" style="167" customWidth="1"/>
    <col min="9225" max="9225" width="9.28515625" style="167" customWidth="1"/>
    <col min="9226" max="9226" width="7.28515625" style="167" customWidth="1"/>
    <col min="9227" max="9227" width="8.28515625" style="167" customWidth="1"/>
    <col min="9228" max="9228" width="7.28515625" style="167" customWidth="1"/>
    <col min="9229" max="9229" width="8.42578125" style="167" customWidth="1"/>
    <col min="9230" max="9230" width="8.7109375" style="167" customWidth="1"/>
    <col min="9231" max="9231" width="10.140625" style="167" customWidth="1"/>
    <col min="9232" max="9232" width="8" style="167" customWidth="1"/>
    <col min="9233" max="9233" width="6.42578125" style="167" customWidth="1"/>
    <col min="9234" max="9472" width="9.140625" style="167"/>
    <col min="9473" max="9473" width="4.5703125" style="167" customWidth="1"/>
    <col min="9474" max="9474" width="32.7109375" style="167" customWidth="1"/>
    <col min="9475" max="9475" width="13.7109375" style="167" customWidth="1"/>
    <col min="9476" max="9476" width="12" style="167" customWidth="1"/>
    <col min="9477" max="9477" width="12.7109375" style="167" customWidth="1"/>
    <col min="9478" max="9478" width="12.140625" style="167" customWidth="1"/>
    <col min="9479" max="9479" width="12.28515625" style="167" customWidth="1"/>
    <col min="9480" max="9480" width="12.5703125" style="167" customWidth="1"/>
    <col min="9481" max="9481" width="9.28515625" style="167" customWidth="1"/>
    <col min="9482" max="9482" width="7.28515625" style="167" customWidth="1"/>
    <col min="9483" max="9483" width="8.28515625" style="167" customWidth="1"/>
    <col min="9484" max="9484" width="7.28515625" style="167" customWidth="1"/>
    <col min="9485" max="9485" width="8.42578125" style="167" customWidth="1"/>
    <col min="9486" max="9486" width="8.7109375" style="167" customWidth="1"/>
    <col min="9487" max="9487" width="10.140625" style="167" customWidth="1"/>
    <col min="9488" max="9488" width="8" style="167" customWidth="1"/>
    <col min="9489" max="9489" width="6.42578125" style="167" customWidth="1"/>
    <col min="9490" max="9728" width="9.140625" style="167"/>
    <col min="9729" max="9729" width="4.5703125" style="167" customWidth="1"/>
    <col min="9730" max="9730" width="32.7109375" style="167" customWidth="1"/>
    <col min="9731" max="9731" width="13.7109375" style="167" customWidth="1"/>
    <col min="9732" max="9732" width="12" style="167" customWidth="1"/>
    <col min="9733" max="9733" width="12.7109375" style="167" customWidth="1"/>
    <col min="9734" max="9734" width="12.140625" style="167" customWidth="1"/>
    <col min="9735" max="9735" width="12.28515625" style="167" customWidth="1"/>
    <col min="9736" max="9736" width="12.5703125" style="167" customWidth="1"/>
    <col min="9737" max="9737" width="9.28515625" style="167" customWidth="1"/>
    <col min="9738" max="9738" width="7.28515625" style="167" customWidth="1"/>
    <col min="9739" max="9739" width="8.28515625" style="167" customWidth="1"/>
    <col min="9740" max="9740" width="7.28515625" style="167" customWidth="1"/>
    <col min="9741" max="9741" width="8.42578125" style="167" customWidth="1"/>
    <col min="9742" max="9742" width="8.7109375" style="167" customWidth="1"/>
    <col min="9743" max="9743" width="10.140625" style="167" customWidth="1"/>
    <col min="9744" max="9744" width="8" style="167" customWidth="1"/>
    <col min="9745" max="9745" width="6.42578125" style="167" customWidth="1"/>
    <col min="9746" max="9984" width="9.140625" style="167"/>
    <col min="9985" max="9985" width="4.5703125" style="167" customWidth="1"/>
    <col min="9986" max="9986" width="32.7109375" style="167" customWidth="1"/>
    <col min="9987" max="9987" width="13.7109375" style="167" customWidth="1"/>
    <col min="9988" max="9988" width="12" style="167" customWidth="1"/>
    <col min="9989" max="9989" width="12.7109375" style="167" customWidth="1"/>
    <col min="9990" max="9990" width="12.140625" style="167" customWidth="1"/>
    <col min="9991" max="9991" width="12.28515625" style="167" customWidth="1"/>
    <col min="9992" max="9992" width="12.5703125" style="167" customWidth="1"/>
    <col min="9993" max="9993" width="9.28515625" style="167" customWidth="1"/>
    <col min="9994" max="9994" width="7.28515625" style="167" customWidth="1"/>
    <col min="9995" max="9995" width="8.28515625" style="167" customWidth="1"/>
    <col min="9996" max="9996" width="7.28515625" style="167" customWidth="1"/>
    <col min="9997" max="9997" width="8.42578125" style="167" customWidth="1"/>
    <col min="9998" max="9998" width="8.7109375" style="167" customWidth="1"/>
    <col min="9999" max="9999" width="10.140625" style="167" customWidth="1"/>
    <col min="10000" max="10000" width="8" style="167" customWidth="1"/>
    <col min="10001" max="10001" width="6.42578125" style="167" customWidth="1"/>
    <col min="10002" max="10240" width="9.140625" style="167"/>
    <col min="10241" max="10241" width="4.5703125" style="167" customWidth="1"/>
    <col min="10242" max="10242" width="32.7109375" style="167" customWidth="1"/>
    <col min="10243" max="10243" width="13.7109375" style="167" customWidth="1"/>
    <col min="10244" max="10244" width="12" style="167" customWidth="1"/>
    <col min="10245" max="10245" width="12.7109375" style="167" customWidth="1"/>
    <col min="10246" max="10246" width="12.140625" style="167" customWidth="1"/>
    <col min="10247" max="10247" width="12.28515625" style="167" customWidth="1"/>
    <col min="10248" max="10248" width="12.5703125" style="167" customWidth="1"/>
    <col min="10249" max="10249" width="9.28515625" style="167" customWidth="1"/>
    <col min="10250" max="10250" width="7.28515625" style="167" customWidth="1"/>
    <col min="10251" max="10251" width="8.28515625" style="167" customWidth="1"/>
    <col min="10252" max="10252" width="7.28515625" style="167" customWidth="1"/>
    <col min="10253" max="10253" width="8.42578125" style="167" customWidth="1"/>
    <col min="10254" max="10254" width="8.7109375" style="167" customWidth="1"/>
    <col min="10255" max="10255" width="10.140625" style="167" customWidth="1"/>
    <col min="10256" max="10256" width="8" style="167" customWidth="1"/>
    <col min="10257" max="10257" width="6.42578125" style="167" customWidth="1"/>
    <col min="10258" max="10496" width="9.140625" style="167"/>
    <col min="10497" max="10497" width="4.5703125" style="167" customWidth="1"/>
    <col min="10498" max="10498" width="32.7109375" style="167" customWidth="1"/>
    <col min="10499" max="10499" width="13.7109375" style="167" customWidth="1"/>
    <col min="10500" max="10500" width="12" style="167" customWidth="1"/>
    <col min="10501" max="10501" width="12.7109375" style="167" customWidth="1"/>
    <col min="10502" max="10502" width="12.140625" style="167" customWidth="1"/>
    <col min="10503" max="10503" width="12.28515625" style="167" customWidth="1"/>
    <col min="10504" max="10504" width="12.5703125" style="167" customWidth="1"/>
    <col min="10505" max="10505" width="9.28515625" style="167" customWidth="1"/>
    <col min="10506" max="10506" width="7.28515625" style="167" customWidth="1"/>
    <col min="10507" max="10507" width="8.28515625" style="167" customWidth="1"/>
    <col min="10508" max="10508" width="7.28515625" style="167" customWidth="1"/>
    <col min="10509" max="10509" width="8.42578125" style="167" customWidth="1"/>
    <col min="10510" max="10510" width="8.7109375" style="167" customWidth="1"/>
    <col min="10511" max="10511" width="10.140625" style="167" customWidth="1"/>
    <col min="10512" max="10512" width="8" style="167" customWidth="1"/>
    <col min="10513" max="10513" width="6.42578125" style="167" customWidth="1"/>
    <col min="10514" max="10752" width="9.140625" style="167"/>
    <col min="10753" max="10753" width="4.5703125" style="167" customWidth="1"/>
    <col min="10754" max="10754" width="32.7109375" style="167" customWidth="1"/>
    <col min="10755" max="10755" width="13.7109375" style="167" customWidth="1"/>
    <col min="10756" max="10756" width="12" style="167" customWidth="1"/>
    <col min="10757" max="10757" width="12.7109375" style="167" customWidth="1"/>
    <col min="10758" max="10758" width="12.140625" style="167" customWidth="1"/>
    <col min="10759" max="10759" width="12.28515625" style="167" customWidth="1"/>
    <col min="10760" max="10760" width="12.5703125" style="167" customWidth="1"/>
    <col min="10761" max="10761" width="9.28515625" style="167" customWidth="1"/>
    <col min="10762" max="10762" width="7.28515625" style="167" customWidth="1"/>
    <col min="10763" max="10763" width="8.28515625" style="167" customWidth="1"/>
    <col min="10764" max="10764" width="7.28515625" style="167" customWidth="1"/>
    <col min="10765" max="10765" width="8.42578125" style="167" customWidth="1"/>
    <col min="10766" max="10766" width="8.7109375" style="167" customWidth="1"/>
    <col min="10767" max="10767" width="10.140625" style="167" customWidth="1"/>
    <col min="10768" max="10768" width="8" style="167" customWidth="1"/>
    <col min="10769" max="10769" width="6.42578125" style="167" customWidth="1"/>
    <col min="10770" max="11008" width="9.140625" style="167"/>
    <col min="11009" max="11009" width="4.5703125" style="167" customWidth="1"/>
    <col min="11010" max="11010" width="32.7109375" style="167" customWidth="1"/>
    <col min="11011" max="11011" width="13.7109375" style="167" customWidth="1"/>
    <col min="11012" max="11012" width="12" style="167" customWidth="1"/>
    <col min="11013" max="11013" width="12.7109375" style="167" customWidth="1"/>
    <col min="11014" max="11014" width="12.140625" style="167" customWidth="1"/>
    <col min="11015" max="11015" width="12.28515625" style="167" customWidth="1"/>
    <col min="11016" max="11016" width="12.5703125" style="167" customWidth="1"/>
    <col min="11017" max="11017" width="9.28515625" style="167" customWidth="1"/>
    <col min="11018" max="11018" width="7.28515625" style="167" customWidth="1"/>
    <col min="11019" max="11019" width="8.28515625" style="167" customWidth="1"/>
    <col min="11020" max="11020" width="7.28515625" style="167" customWidth="1"/>
    <col min="11021" max="11021" width="8.42578125" style="167" customWidth="1"/>
    <col min="11022" max="11022" width="8.7109375" style="167" customWidth="1"/>
    <col min="11023" max="11023" width="10.140625" style="167" customWidth="1"/>
    <col min="11024" max="11024" width="8" style="167" customWidth="1"/>
    <col min="11025" max="11025" width="6.42578125" style="167" customWidth="1"/>
    <col min="11026" max="11264" width="9.140625" style="167"/>
    <col min="11265" max="11265" width="4.5703125" style="167" customWidth="1"/>
    <col min="11266" max="11266" width="32.7109375" style="167" customWidth="1"/>
    <col min="11267" max="11267" width="13.7109375" style="167" customWidth="1"/>
    <col min="11268" max="11268" width="12" style="167" customWidth="1"/>
    <col min="11269" max="11269" width="12.7109375" style="167" customWidth="1"/>
    <col min="11270" max="11270" width="12.140625" style="167" customWidth="1"/>
    <col min="11271" max="11271" width="12.28515625" style="167" customWidth="1"/>
    <col min="11272" max="11272" width="12.5703125" style="167" customWidth="1"/>
    <col min="11273" max="11273" width="9.28515625" style="167" customWidth="1"/>
    <col min="11274" max="11274" width="7.28515625" style="167" customWidth="1"/>
    <col min="11275" max="11275" width="8.28515625" style="167" customWidth="1"/>
    <col min="11276" max="11276" width="7.28515625" style="167" customWidth="1"/>
    <col min="11277" max="11277" width="8.42578125" style="167" customWidth="1"/>
    <col min="11278" max="11278" width="8.7109375" style="167" customWidth="1"/>
    <col min="11279" max="11279" width="10.140625" style="167" customWidth="1"/>
    <col min="11280" max="11280" width="8" style="167" customWidth="1"/>
    <col min="11281" max="11281" width="6.42578125" style="167" customWidth="1"/>
    <col min="11282" max="11520" width="9.140625" style="167"/>
    <col min="11521" max="11521" width="4.5703125" style="167" customWidth="1"/>
    <col min="11522" max="11522" width="32.7109375" style="167" customWidth="1"/>
    <col min="11523" max="11523" width="13.7109375" style="167" customWidth="1"/>
    <col min="11524" max="11524" width="12" style="167" customWidth="1"/>
    <col min="11525" max="11525" width="12.7109375" style="167" customWidth="1"/>
    <col min="11526" max="11526" width="12.140625" style="167" customWidth="1"/>
    <col min="11527" max="11527" width="12.28515625" style="167" customWidth="1"/>
    <col min="11528" max="11528" width="12.5703125" style="167" customWidth="1"/>
    <col min="11529" max="11529" width="9.28515625" style="167" customWidth="1"/>
    <col min="11530" max="11530" width="7.28515625" style="167" customWidth="1"/>
    <col min="11531" max="11531" width="8.28515625" style="167" customWidth="1"/>
    <col min="11532" max="11532" width="7.28515625" style="167" customWidth="1"/>
    <col min="11533" max="11533" width="8.42578125" style="167" customWidth="1"/>
    <col min="11534" max="11534" width="8.7109375" style="167" customWidth="1"/>
    <col min="11535" max="11535" width="10.140625" style="167" customWidth="1"/>
    <col min="11536" max="11536" width="8" style="167" customWidth="1"/>
    <col min="11537" max="11537" width="6.42578125" style="167" customWidth="1"/>
    <col min="11538" max="11776" width="9.140625" style="167"/>
    <col min="11777" max="11777" width="4.5703125" style="167" customWidth="1"/>
    <col min="11778" max="11778" width="32.7109375" style="167" customWidth="1"/>
    <col min="11779" max="11779" width="13.7109375" style="167" customWidth="1"/>
    <col min="11780" max="11780" width="12" style="167" customWidth="1"/>
    <col min="11781" max="11781" width="12.7109375" style="167" customWidth="1"/>
    <col min="11782" max="11782" width="12.140625" style="167" customWidth="1"/>
    <col min="11783" max="11783" width="12.28515625" style="167" customWidth="1"/>
    <col min="11784" max="11784" width="12.5703125" style="167" customWidth="1"/>
    <col min="11785" max="11785" width="9.28515625" style="167" customWidth="1"/>
    <col min="11786" max="11786" width="7.28515625" style="167" customWidth="1"/>
    <col min="11787" max="11787" width="8.28515625" style="167" customWidth="1"/>
    <col min="11788" max="11788" width="7.28515625" style="167" customWidth="1"/>
    <col min="11789" max="11789" width="8.42578125" style="167" customWidth="1"/>
    <col min="11790" max="11790" width="8.7109375" style="167" customWidth="1"/>
    <col min="11791" max="11791" width="10.140625" style="167" customWidth="1"/>
    <col min="11792" max="11792" width="8" style="167" customWidth="1"/>
    <col min="11793" max="11793" width="6.42578125" style="167" customWidth="1"/>
    <col min="11794" max="12032" width="9.140625" style="167"/>
    <col min="12033" max="12033" width="4.5703125" style="167" customWidth="1"/>
    <col min="12034" max="12034" width="32.7109375" style="167" customWidth="1"/>
    <col min="12035" max="12035" width="13.7109375" style="167" customWidth="1"/>
    <col min="12036" max="12036" width="12" style="167" customWidth="1"/>
    <col min="12037" max="12037" width="12.7109375" style="167" customWidth="1"/>
    <col min="12038" max="12038" width="12.140625" style="167" customWidth="1"/>
    <col min="12039" max="12039" width="12.28515625" style="167" customWidth="1"/>
    <col min="12040" max="12040" width="12.5703125" style="167" customWidth="1"/>
    <col min="12041" max="12041" width="9.28515625" style="167" customWidth="1"/>
    <col min="12042" max="12042" width="7.28515625" style="167" customWidth="1"/>
    <col min="12043" max="12043" width="8.28515625" style="167" customWidth="1"/>
    <col min="12044" max="12044" width="7.28515625" style="167" customWidth="1"/>
    <col min="12045" max="12045" width="8.42578125" style="167" customWidth="1"/>
    <col min="12046" max="12046" width="8.7109375" style="167" customWidth="1"/>
    <col min="12047" max="12047" width="10.140625" style="167" customWidth="1"/>
    <col min="12048" max="12048" width="8" style="167" customWidth="1"/>
    <col min="12049" max="12049" width="6.42578125" style="167" customWidth="1"/>
    <col min="12050" max="12288" width="9.140625" style="167"/>
    <col min="12289" max="12289" width="4.5703125" style="167" customWidth="1"/>
    <col min="12290" max="12290" width="32.7109375" style="167" customWidth="1"/>
    <col min="12291" max="12291" width="13.7109375" style="167" customWidth="1"/>
    <col min="12292" max="12292" width="12" style="167" customWidth="1"/>
    <col min="12293" max="12293" width="12.7109375" style="167" customWidth="1"/>
    <col min="12294" max="12294" width="12.140625" style="167" customWidth="1"/>
    <col min="12295" max="12295" width="12.28515625" style="167" customWidth="1"/>
    <col min="12296" max="12296" width="12.5703125" style="167" customWidth="1"/>
    <col min="12297" max="12297" width="9.28515625" style="167" customWidth="1"/>
    <col min="12298" max="12298" width="7.28515625" style="167" customWidth="1"/>
    <col min="12299" max="12299" width="8.28515625" style="167" customWidth="1"/>
    <col min="12300" max="12300" width="7.28515625" style="167" customWidth="1"/>
    <col min="12301" max="12301" width="8.42578125" style="167" customWidth="1"/>
    <col min="12302" max="12302" width="8.7109375" style="167" customWidth="1"/>
    <col min="12303" max="12303" width="10.140625" style="167" customWidth="1"/>
    <col min="12304" max="12304" width="8" style="167" customWidth="1"/>
    <col min="12305" max="12305" width="6.42578125" style="167" customWidth="1"/>
    <col min="12306" max="12544" width="9.140625" style="167"/>
    <col min="12545" max="12545" width="4.5703125" style="167" customWidth="1"/>
    <col min="12546" max="12546" width="32.7109375" style="167" customWidth="1"/>
    <col min="12547" max="12547" width="13.7109375" style="167" customWidth="1"/>
    <col min="12548" max="12548" width="12" style="167" customWidth="1"/>
    <col min="12549" max="12549" width="12.7109375" style="167" customWidth="1"/>
    <col min="12550" max="12550" width="12.140625" style="167" customWidth="1"/>
    <col min="12551" max="12551" width="12.28515625" style="167" customWidth="1"/>
    <col min="12552" max="12552" width="12.5703125" style="167" customWidth="1"/>
    <col min="12553" max="12553" width="9.28515625" style="167" customWidth="1"/>
    <col min="12554" max="12554" width="7.28515625" style="167" customWidth="1"/>
    <col min="12555" max="12555" width="8.28515625" style="167" customWidth="1"/>
    <col min="12556" max="12556" width="7.28515625" style="167" customWidth="1"/>
    <col min="12557" max="12557" width="8.42578125" style="167" customWidth="1"/>
    <col min="12558" max="12558" width="8.7109375" style="167" customWidth="1"/>
    <col min="12559" max="12559" width="10.140625" style="167" customWidth="1"/>
    <col min="12560" max="12560" width="8" style="167" customWidth="1"/>
    <col min="12561" max="12561" width="6.42578125" style="167" customWidth="1"/>
    <col min="12562" max="12800" width="9.140625" style="167"/>
    <col min="12801" max="12801" width="4.5703125" style="167" customWidth="1"/>
    <col min="12802" max="12802" width="32.7109375" style="167" customWidth="1"/>
    <col min="12803" max="12803" width="13.7109375" style="167" customWidth="1"/>
    <col min="12804" max="12804" width="12" style="167" customWidth="1"/>
    <col min="12805" max="12805" width="12.7109375" style="167" customWidth="1"/>
    <col min="12806" max="12806" width="12.140625" style="167" customWidth="1"/>
    <col min="12807" max="12807" width="12.28515625" style="167" customWidth="1"/>
    <col min="12808" max="12808" width="12.5703125" style="167" customWidth="1"/>
    <col min="12809" max="12809" width="9.28515625" style="167" customWidth="1"/>
    <col min="12810" max="12810" width="7.28515625" style="167" customWidth="1"/>
    <col min="12811" max="12811" width="8.28515625" style="167" customWidth="1"/>
    <col min="12812" max="12812" width="7.28515625" style="167" customWidth="1"/>
    <col min="12813" max="12813" width="8.42578125" style="167" customWidth="1"/>
    <col min="12814" max="12814" width="8.7109375" style="167" customWidth="1"/>
    <col min="12815" max="12815" width="10.140625" style="167" customWidth="1"/>
    <col min="12816" max="12816" width="8" style="167" customWidth="1"/>
    <col min="12817" max="12817" width="6.42578125" style="167" customWidth="1"/>
    <col min="12818" max="13056" width="9.140625" style="167"/>
    <col min="13057" max="13057" width="4.5703125" style="167" customWidth="1"/>
    <col min="13058" max="13058" width="32.7109375" style="167" customWidth="1"/>
    <col min="13059" max="13059" width="13.7109375" style="167" customWidth="1"/>
    <col min="13060" max="13060" width="12" style="167" customWidth="1"/>
    <col min="13061" max="13061" width="12.7109375" style="167" customWidth="1"/>
    <col min="13062" max="13062" width="12.140625" style="167" customWidth="1"/>
    <col min="13063" max="13063" width="12.28515625" style="167" customWidth="1"/>
    <col min="13064" max="13064" width="12.5703125" style="167" customWidth="1"/>
    <col min="13065" max="13065" width="9.28515625" style="167" customWidth="1"/>
    <col min="13066" max="13066" width="7.28515625" style="167" customWidth="1"/>
    <col min="13067" max="13067" width="8.28515625" style="167" customWidth="1"/>
    <col min="13068" max="13068" width="7.28515625" style="167" customWidth="1"/>
    <col min="13069" max="13069" width="8.42578125" style="167" customWidth="1"/>
    <col min="13070" max="13070" width="8.7109375" style="167" customWidth="1"/>
    <col min="13071" max="13071" width="10.140625" style="167" customWidth="1"/>
    <col min="13072" max="13072" width="8" style="167" customWidth="1"/>
    <col min="13073" max="13073" width="6.42578125" style="167" customWidth="1"/>
    <col min="13074" max="13312" width="9.140625" style="167"/>
    <col min="13313" max="13313" width="4.5703125" style="167" customWidth="1"/>
    <col min="13314" max="13314" width="32.7109375" style="167" customWidth="1"/>
    <col min="13315" max="13315" width="13.7109375" style="167" customWidth="1"/>
    <col min="13316" max="13316" width="12" style="167" customWidth="1"/>
    <col min="13317" max="13317" width="12.7109375" style="167" customWidth="1"/>
    <col min="13318" max="13318" width="12.140625" style="167" customWidth="1"/>
    <col min="13319" max="13319" width="12.28515625" style="167" customWidth="1"/>
    <col min="13320" max="13320" width="12.5703125" style="167" customWidth="1"/>
    <col min="13321" max="13321" width="9.28515625" style="167" customWidth="1"/>
    <col min="13322" max="13322" width="7.28515625" style="167" customWidth="1"/>
    <col min="13323" max="13323" width="8.28515625" style="167" customWidth="1"/>
    <col min="13324" max="13324" width="7.28515625" style="167" customWidth="1"/>
    <col min="13325" max="13325" width="8.42578125" style="167" customWidth="1"/>
    <col min="13326" max="13326" width="8.7109375" style="167" customWidth="1"/>
    <col min="13327" max="13327" width="10.140625" style="167" customWidth="1"/>
    <col min="13328" max="13328" width="8" style="167" customWidth="1"/>
    <col min="13329" max="13329" width="6.42578125" style="167" customWidth="1"/>
    <col min="13330" max="13568" width="9.140625" style="167"/>
    <col min="13569" max="13569" width="4.5703125" style="167" customWidth="1"/>
    <col min="13570" max="13570" width="32.7109375" style="167" customWidth="1"/>
    <col min="13571" max="13571" width="13.7109375" style="167" customWidth="1"/>
    <col min="13572" max="13572" width="12" style="167" customWidth="1"/>
    <col min="13573" max="13573" width="12.7109375" style="167" customWidth="1"/>
    <col min="13574" max="13574" width="12.140625" style="167" customWidth="1"/>
    <col min="13575" max="13575" width="12.28515625" style="167" customWidth="1"/>
    <col min="13576" max="13576" width="12.5703125" style="167" customWidth="1"/>
    <col min="13577" max="13577" width="9.28515625" style="167" customWidth="1"/>
    <col min="13578" max="13578" width="7.28515625" style="167" customWidth="1"/>
    <col min="13579" max="13579" width="8.28515625" style="167" customWidth="1"/>
    <col min="13580" max="13580" width="7.28515625" style="167" customWidth="1"/>
    <col min="13581" max="13581" width="8.42578125" style="167" customWidth="1"/>
    <col min="13582" max="13582" width="8.7109375" style="167" customWidth="1"/>
    <col min="13583" max="13583" width="10.140625" style="167" customWidth="1"/>
    <col min="13584" max="13584" width="8" style="167" customWidth="1"/>
    <col min="13585" max="13585" width="6.42578125" style="167" customWidth="1"/>
    <col min="13586" max="13824" width="9.140625" style="167"/>
    <col min="13825" max="13825" width="4.5703125" style="167" customWidth="1"/>
    <col min="13826" max="13826" width="32.7109375" style="167" customWidth="1"/>
    <col min="13827" max="13827" width="13.7109375" style="167" customWidth="1"/>
    <col min="13828" max="13828" width="12" style="167" customWidth="1"/>
    <col min="13829" max="13829" width="12.7109375" style="167" customWidth="1"/>
    <col min="13830" max="13830" width="12.140625" style="167" customWidth="1"/>
    <col min="13831" max="13831" width="12.28515625" style="167" customWidth="1"/>
    <col min="13832" max="13832" width="12.5703125" style="167" customWidth="1"/>
    <col min="13833" max="13833" width="9.28515625" style="167" customWidth="1"/>
    <col min="13834" max="13834" width="7.28515625" style="167" customWidth="1"/>
    <col min="13835" max="13835" width="8.28515625" style="167" customWidth="1"/>
    <col min="13836" max="13836" width="7.28515625" style="167" customWidth="1"/>
    <col min="13837" max="13837" width="8.42578125" style="167" customWidth="1"/>
    <col min="13838" max="13838" width="8.7109375" style="167" customWidth="1"/>
    <col min="13839" max="13839" width="10.140625" style="167" customWidth="1"/>
    <col min="13840" max="13840" width="8" style="167" customWidth="1"/>
    <col min="13841" max="13841" width="6.42578125" style="167" customWidth="1"/>
    <col min="13842" max="14080" width="9.140625" style="167"/>
    <col min="14081" max="14081" width="4.5703125" style="167" customWidth="1"/>
    <col min="14082" max="14082" width="32.7109375" style="167" customWidth="1"/>
    <col min="14083" max="14083" width="13.7109375" style="167" customWidth="1"/>
    <col min="14084" max="14084" width="12" style="167" customWidth="1"/>
    <col min="14085" max="14085" width="12.7109375" style="167" customWidth="1"/>
    <col min="14086" max="14086" width="12.140625" style="167" customWidth="1"/>
    <col min="14087" max="14087" width="12.28515625" style="167" customWidth="1"/>
    <col min="14088" max="14088" width="12.5703125" style="167" customWidth="1"/>
    <col min="14089" max="14089" width="9.28515625" style="167" customWidth="1"/>
    <col min="14090" max="14090" width="7.28515625" style="167" customWidth="1"/>
    <col min="14091" max="14091" width="8.28515625" style="167" customWidth="1"/>
    <col min="14092" max="14092" width="7.28515625" style="167" customWidth="1"/>
    <col min="14093" max="14093" width="8.42578125" style="167" customWidth="1"/>
    <col min="14094" max="14094" width="8.7109375" style="167" customWidth="1"/>
    <col min="14095" max="14095" width="10.140625" style="167" customWidth="1"/>
    <col min="14096" max="14096" width="8" style="167" customWidth="1"/>
    <col min="14097" max="14097" width="6.42578125" style="167" customWidth="1"/>
    <col min="14098" max="14336" width="9.140625" style="167"/>
    <col min="14337" max="14337" width="4.5703125" style="167" customWidth="1"/>
    <col min="14338" max="14338" width="32.7109375" style="167" customWidth="1"/>
    <col min="14339" max="14339" width="13.7109375" style="167" customWidth="1"/>
    <col min="14340" max="14340" width="12" style="167" customWidth="1"/>
    <col min="14341" max="14341" width="12.7109375" style="167" customWidth="1"/>
    <col min="14342" max="14342" width="12.140625" style="167" customWidth="1"/>
    <col min="14343" max="14343" width="12.28515625" style="167" customWidth="1"/>
    <col min="14344" max="14344" width="12.5703125" style="167" customWidth="1"/>
    <col min="14345" max="14345" width="9.28515625" style="167" customWidth="1"/>
    <col min="14346" max="14346" width="7.28515625" style="167" customWidth="1"/>
    <col min="14347" max="14347" width="8.28515625" style="167" customWidth="1"/>
    <col min="14348" max="14348" width="7.28515625" style="167" customWidth="1"/>
    <col min="14349" max="14349" width="8.42578125" style="167" customWidth="1"/>
    <col min="14350" max="14350" width="8.7109375" style="167" customWidth="1"/>
    <col min="14351" max="14351" width="10.140625" style="167" customWidth="1"/>
    <col min="14352" max="14352" width="8" style="167" customWidth="1"/>
    <col min="14353" max="14353" width="6.42578125" style="167" customWidth="1"/>
    <col min="14354" max="14592" width="9.140625" style="167"/>
    <col min="14593" max="14593" width="4.5703125" style="167" customWidth="1"/>
    <col min="14594" max="14594" width="32.7109375" style="167" customWidth="1"/>
    <col min="14595" max="14595" width="13.7109375" style="167" customWidth="1"/>
    <col min="14596" max="14596" width="12" style="167" customWidth="1"/>
    <col min="14597" max="14597" width="12.7109375" style="167" customWidth="1"/>
    <col min="14598" max="14598" width="12.140625" style="167" customWidth="1"/>
    <col min="14599" max="14599" width="12.28515625" style="167" customWidth="1"/>
    <col min="14600" max="14600" width="12.5703125" style="167" customWidth="1"/>
    <col min="14601" max="14601" width="9.28515625" style="167" customWidth="1"/>
    <col min="14602" max="14602" width="7.28515625" style="167" customWidth="1"/>
    <col min="14603" max="14603" width="8.28515625" style="167" customWidth="1"/>
    <col min="14604" max="14604" width="7.28515625" style="167" customWidth="1"/>
    <col min="14605" max="14605" width="8.42578125" style="167" customWidth="1"/>
    <col min="14606" max="14606" width="8.7109375" style="167" customWidth="1"/>
    <col min="14607" max="14607" width="10.140625" style="167" customWidth="1"/>
    <col min="14608" max="14608" width="8" style="167" customWidth="1"/>
    <col min="14609" max="14609" width="6.42578125" style="167" customWidth="1"/>
    <col min="14610" max="14848" width="9.140625" style="167"/>
    <col min="14849" max="14849" width="4.5703125" style="167" customWidth="1"/>
    <col min="14850" max="14850" width="32.7109375" style="167" customWidth="1"/>
    <col min="14851" max="14851" width="13.7109375" style="167" customWidth="1"/>
    <col min="14852" max="14852" width="12" style="167" customWidth="1"/>
    <col min="14853" max="14853" width="12.7109375" style="167" customWidth="1"/>
    <col min="14854" max="14854" width="12.140625" style="167" customWidth="1"/>
    <col min="14855" max="14855" width="12.28515625" style="167" customWidth="1"/>
    <col min="14856" max="14856" width="12.5703125" style="167" customWidth="1"/>
    <col min="14857" max="14857" width="9.28515625" style="167" customWidth="1"/>
    <col min="14858" max="14858" width="7.28515625" style="167" customWidth="1"/>
    <col min="14859" max="14859" width="8.28515625" style="167" customWidth="1"/>
    <col min="14860" max="14860" width="7.28515625" style="167" customWidth="1"/>
    <col min="14861" max="14861" width="8.42578125" style="167" customWidth="1"/>
    <col min="14862" max="14862" width="8.7109375" style="167" customWidth="1"/>
    <col min="14863" max="14863" width="10.140625" style="167" customWidth="1"/>
    <col min="14864" max="14864" width="8" style="167" customWidth="1"/>
    <col min="14865" max="14865" width="6.42578125" style="167" customWidth="1"/>
    <col min="14866" max="15104" width="9.140625" style="167"/>
    <col min="15105" max="15105" width="4.5703125" style="167" customWidth="1"/>
    <col min="15106" max="15106" width="32.7109375" style="167" customWidth="1"/>
    <col min="15107" max="15107" width="13.7109375" style="167" customWidth="1"/>
    <col min="15108" max="15108" width="12" style="167" customWidth="1"/>
    <col min="15109" max="15109" width="12.7109375" style="167" customWidth="1"/>
    <col min="15110" max="15110" width="12.140625" style="167" customWidth="1"/>
    <col min="15111" max="15111" width="12.28515625" style="167" customWidth="1"/>
    <col min="15112" max="15112" width="12.5703125" style="167" customWidth="1"/>
    <col min="15113" max="15113" width="9.28515625" style="167" customWidth="1"/>
    <col min="15114" max="15114" width="7.28515625" style="167" customWidth="1"/>
    <col min="15115" max="15115" width="8.28515625" style="167" customWidth="1"/>
    <col min="15116" max="15116" width="7.28515625" style="167" customWidth="1"/>
    <col min="15117" max="15117" width="8.42578125" style="167" customWidth="1"/>
    <col min="15118" max="15118" width="8.7109375" style="167" customWidth="1"/>
    <col min="15119" max="15119" width="10.140625" style="167" customWidth="1"/>
    <col min="15120" max="15120" width="8" style="167" customWidth="1"/>
    <col min="15121" max="15121" width="6.42578125" style="167" customWidth="1"/>
    <col min="15122" max="15360" width="9.140625" style="167"/>
    <col min="15361" max="15361" width="4.5703125" style="167" customWidth="1"/>
    <col min="15362" max="15362" width="32.7109375" style="167" customWidth="1"/>
    <col min="15363" max="15363" width="13.7109375" style="167" customWidth="1"/>
    <col min="15364" max="15364" width="12" style="167" customWidth="1"/>
    <col min="15365" max="15365" width="12.7109375" style="167" customWidth="1"/>
    <col min="15366" max="15366" width="12.140625" style="167" customWidth="1"/>
    <col min="15367" max="15367" width="12.28515625" style="167" customWidth="1"/>
    <col min="15368" max="15368" width="12.5703125" style="167" customWidth="1"/>
    <col min="15369" max="15369" width="9.28515625" style="167" customWidth="1"/>
    <col min="15370" max="15370" width="7.28515625" style="167" customWidth="1"/>
    <col min="15371" max="15371" width="8.28515625" style="167" customWidth="1"/>
    <col min="15372" max="15372" width="7.28515625" style="167" customWidth="1"/>
    <col min="15373" max="15373" width="8.42578125" style="167" customWidth="1"/>
    <col min="15374" max="15374" width="8.7109375" style="167" customWidth="1"/>
    <col min="15375" max="15375" width="10.140625" style="167" customWidth="1"/>
    <col min="15376" max="15376" width="8" style="167" customWidth="1"/>
    <col min="15377" max="15377" width="6.42578125" style="167" customWidth="1"/>
    <col min="15378" max="15616" width="9.140625" style="167"/>
    <col min="15617" max="15617" width="4.5703125" style="167" customWidth="1"/>
    <col min="15618" max="15618" width="32.7109375" style="167" customWidth="1"/>
    <col min="15619" max="15619" width="13.7109375" style="167" customWidth="1"/>
    <col min="15620" max="15620" width="12" style="167" customWidth="1"/>
    <col min="15621" max="15621" width="12.7109375" style="167" customWidth="1"/>
    <col min="15622" max="15622" width="12.140625" style="167" customWidth="1"/>
    <col min="15623" max="15623" width="12.28515625" style="167" customWidth="1"/>
    <col min="15624" max="15624" width="12.5703125" style="167" customWidth="1"/>
    <col min="15625" max="15625" width="9.28515625" style="167" customWidth="1"/>
    <col min="15626" max="15626" width="7.28515625" style="167" customWidth="1"/>
    <col min="15627" max="15627" width="8.28515625" style="167" customWidth="1"/>
    <col min="15628" max="15628" width="7.28515625" style="167" customWidth="1"/>
    <col min="15629" max="15629" width="8.42578125" style="167" customWidth="1"/>
    <col min="15630" max="15630" width="8.7109375" style="167" customWidth="1"/>
    <col min="15631" max="15631" width="10.140625" style="167" customWidth="1"/>
    <col min="15632" max="15632" width="8" style="167" customWidth="1"/>
    <col min="15633" max="15633" width="6.42578125" style="167" customWidth="1"/>
    <col min="15634" max="15872" width="9.140625" style="167"/>
    <col min="15873" max="15873" width="4.5703125" style="167" customWidth="1"/>
    <col min="15874" max="15874" width="32.7109375" style="167" customWidth="1"/>
    <col min="15875" max="15875" width="13.7109375" style="167" customWidth="1"/>
    <col min="15876" max="15876" width="12" style="167" customWidth="1"/>
    <col min="15877" max="15877" width="12.7109375" style="167" customWidth="1"/>
    <col min="15878" max="15878" width="12.140625" style="167" customWidth="1"/>
    <col min="15879" max="15879" width="12.28515625" style="167" customWidth="1"/>
    <col min="15880" max="15880" width="12.5703125" style="167" customWidth="1"/>
    <col min="15881" max="15881" width="9.28515625" style="167" customWidth="1"/>
    <col min="15882" max="15882" width="7.28515625" style="167" customWidth="1"/>
    <col min="15883" max="15883" width="8.28515625" style="167" customWidth="1"/>
    <col min="15884" max="15884" width="7.28515625" style="167" customWidth="1"/>
    <col min="15885" max="15885" width="8.42578125" style="167" customWidth="1"/>
    <col min="15886" max="15886" width="8.7109375" style="167" customWidth="1"/>
    <col min="15887" max="15887" width="10.140625" style="167" customWidth="1"/>
    <col min="15888" max="15888" width="8" style="167" customWidth="1"/>
    <col min="15889" max="15889" width="6.42578125" style="167" customWidth="1"/>
    <col min="15890" max="16128" width="9.140625" style="167"/>
    <col min="16129" max="16129" width="4.5703125" style="167" customWidth="1"/>
    <col min="16130" max="16130" width="32.7109375" style="167" customWidth="1"/>
    <col min="16131" max="16131" width="13.7109375" style="167" customWidth="1"/>
    <col min="16132" max="16132" width="12" style="167" customWidth="1"/>
    <col min="16133" max="16133" width="12.7109375" style="167" customWidth="1"/>
    <col min="16134" max="16134" width="12.140625" style="167" customWidth="1"/>
    <col min="16135" max="16135" width="12.28515625" style="167" customWidth="1"/>
    <col min="16136" max="16136" width="12.5703125" style="167" customWidth="1"/>
    <col min="16137" max="16137" width="9.28515625" style="167" customWidth="1"/>
    <col min="16138" max="16138" width="7.28515625" style="167" customWidth="1"/>
    <col min="16139" max="16139" width="8.28515625" style="167" customWidth="1"/>
    <col min="16140" max="16140" width="7.28515625" style="167" customWidth="1"/>
    <col min="16141" max="16141" width="8.42578125" style="167" customWidth="1"/>
    <col min="16142" max="16142" width="8.7109375" style="167" customWidth="1"/>
    <col min="16143" max="16143" width="10.140625" style="167" customWidth="1"/>
    <col min="16144" max="16144" width="8" style="167" customWidth="1"/>
    <col min="16145" max="16145" width="6.42578125" style="167" customWidth="1"/>
    <col min="16146" max="16384" width="9.140625" style="167"/>
  </cols>
  <sheetData>
    <row r="1" spans="1:17" s="165" customFormat="1" x14ac:dyDescent="0.25">
      <c r="A1" s="164" t="s">
        <v>174</v>
      </c>
      <c r="B1" s="164"/>
      <c r="F1" s="166"/>
      <c r="G1" s="166"/>
      <c r="L1" s="226"/>
      <c r="M1" s="226"/>
      <c r="O1" s="227" t="s">
        <v>280</v>
      </c>
      <c r="P1" s="227"/>
      <c r="Q1" s="227"/>
    </row>
    <row r="2" spans="1:17" s="165" customFormat="1" x14ac:dyDescent="0.25">
      <c r="A2" s="164" t="s">
        <v>175</v>
      </c>
      <c r="B2" s="164"/>
      <c r="C2" s="164"/>
      <c r="D2" s="164"/>
      <c r="E2" s="164"/>
      <c r="O2" s="227" t="s">
        <v>281</v>
      </c>
      <c r="P2" s="227"/>
      <c r="Q2" s="227"/>
    </row>
    <row r="3" spans="1:17" s="165" customFormat="1" x14ac:dyDescent="0.25">
      <c r="A3" s="164"/>
      <c r="B3" s="164"/>
      <c r="C3" s="164"/>
      <c r="D3" s="164"/>
      <c r="E3" s="164"/>
    </row>
    <row r="4" spans="1:17" s="69" customFormat="1" ht="18" customHeight="1" x14ac:dyDescent="0.25">
      <c r="A4" s="7" t="s">
        <v>174</v>
      </c>
      <c r="B4" s="7"/>
      <c r="F4" s="70"/>
      <c r="G4" s="70"/>
      <c r="H4" s="71"/>
      <c r="L4" s="232"/>
      <c r="M4" s="232"/>
      <c r="N4" s="233" t="s">
        <v>112</v>
      </c>
      <c r="O4" s="233"/>
      <c r="P4" s="233"/>
      <c r="Q4" s="233"/>
    </row>
    <row r="5" spans="1:17" s="69" customFormat="1" ht="18" customHeight="1" x14ac:dyDescent="0.25">
      <c r="A5" s="7" t="s">
        <v>175</v>
      </c>
      <c r="B5" s="7"/>
      <c r="C5" s="7"/>
      <c r="D5" s="7"/>
      <c r="E5" s="7"/>
      <c r="H5" s="71"/>
      <c r="P5" s="234"/>
      <c r="Q5" s="234"/>
    </row>
    <row r="6" spans="1:17" s="69" customFormat="1" ht="5.25" customHeight="1" x14ac:dyDescent="0.25">
      <c r="A6" s="7"/>
      <c r="B6" s="7"/>
      <c r="C6" s="7"/>
      <c r="D6" s="7"/>
      <c r="E6" s="7"/>
      <c r="H6" s="71"/>
    </row>
    <row r="7" spans="1:17" ht="26.25" customHeight="1" x14ac:dyDescent="0.25">
      <c r="A7" s="228" t="s">
        <v>216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1:17" x14ac:dyDescent="0.25">
      <c r="A8" s="231" t="str">
        <f>'96'!A5:E5</f>
        <v>(Kèm theo Quyết định số        /QĐ-UBND ngày      tháng 7 năm 2022 của UBND huyện Đăk Hà)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</row>
    <row r="9" spans="1:17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229" t="s">
        <v>0</v>
      </c>
      <c r="O9" s="229"/>
      <c r="P9" s="229"/>
      <c r="Q9" s="229"/>
    </row>
    <row r="10" spans="1:17" ht="24" customHeight="1" x14ac:dyDescent="0.25">
      <c r="A10" s="224" t="s">
        <v>162</v>
      </c>
      <c r="B10" s="224" t="s">
        <v>82</v>
      </c>
      <c r="C10" s="235" t="s">
        <v>94</v>
      </c>
      <c r="D10" s="235"/>
      <c r="E10" s="235"/>
      <c r="F10" s="236" t="s">
        <v>84</v>
      </c>
      <c r="G10" s="236"/>
      <c r="H10" s="236"/>
      <c r="I10" s="236"/>
      <c r="J10" s="236"/>
      <c r="K10" s="236"/>
      <c r="L10" s="236"/>
      <c r="M10" s="236"/>
      <c r="N10" s="236"/>
      <c r="O10" s="224" t="s">
        <v>176</v>
      </c>
      <c r="P10" s="224"/>
      <c r="Q10" s="224"/>
    </row>
    <row r="11" spans="1:17" x14ac:dyDescent="0.25">
      <c r="A11" s="224"/>
      <c r="B11" s="224"/>
      <c r="C11" s="224" t="s">
        <v>79</v>
      </c>
      <c r="D11" s="224" t="s">
        <v>77</v>
      </c>
      <c r="E11" s="224" t="s">
        <v>78</v>
      </c>
      <c r="F11" s="224" t="s">
        <v>79</v>
      </c>
      <c r="G11" s="224" t="s">
        <v>77</v>
      </c>
      <c r="H11" s="224" t="s">
        <v>78</v>
      </c>
      <c r="I11" s="224" t="s">
        <v>177</v>
      </c>
      <c r="J11" s="224" t="s">
        <v>178</v>
      </c>
      <c r="K11" s="224" t="s">
        <v>179</v>
      </c>
      <c r="L11" s="224"/>
      <c r="M11" s="224"/>
      <c r="N11" s="224" t="s">
        <v>81</v>
      </c>
      <c r="O11" s="224" t="s">
        <v>79</v>
      </c>
      <c r="P11" s="224" t="s">
        <v>19</v>
      </c>
      <c r="Q11" s="225"/>
    </row>
    <row r="12" spans="1:17" ht="77.25" customHeight="1" x14ac:dyDescent="0.25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169" t="s">
        <v>79</v>
      </c>
      <c r="L12" s="169" t="s">
        <v>80</v>
      </c>
      <c r="M12" s="169" t="s">
        <v>20</v>
      </c>
      <c r="N12" s="224"/>
      <c r="O12" s="224"/>
      <c r="P12" s="224"/>
      <c r="Q12" s="225"/>
    </row>
    <row r="13" spans="1:17" s="172" customFormat="1" ht="15.75" x14ac:dyDescent="0.25">
      <c r="A13" s="170" t="s">
        <v>2</v>
      </c>
      <c r="B13" s="170" t="s">
        <v>16</v>
      </c>
      <c r="C13" s="170">
        <v>1</v>
      </c>
      <c r="D13" s="170">
        <v>2</v>
      </c>
      <c r="E13" s="170">
        <v>3</v>
      </c>
      <c r="F13" s="170">
        <v>4</v>
      </c>
      <c r="G13" s="170">
        <v>5</v>
      </c>
      <c r="H13" s="170">
        <v>6</v>
      </c>
      <c r="I13" s="170">
        <v>7</v>
      </c>
      <c r="J13" s="170">
        <v>8</v>
      </c>
      <c r="K13" s="170">
        <v>9</v>
      </c>
      <c r="L13" s="170">
        <v>10</v>
      </c>
      <c r="M13" s="170">
        <v>11</v>
      </c>
      <c r="N13" s="171">
        <v>12</v>
      </c>
      <c r="O13" s="171" t="s">
        <v>180</v>
      </c>
      <c r="P13" s="171" t="s">
        <v>181</v>
      </c>
      <c r="Q13" s="171" t="s">
        <v>321</v>
      </c>
    </row>
    <row r="14" spans="1:17" s="176" customFormat="1" ht="15.75" x14ac:dyDescent="0.25">
      <c r="A14" s="173"/>
      <c r="B14" s="173" t="s">
        <v>76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  <c r="P14" s="174">
        <v>0</v>
      </c>
      <c r="Q14" s="174">
        <v>0</v>
      </c>
    </row>
    <row r="15" spans="1:17" s="176" customFormat="1" ht="15.75" x14ac:dyDescent="0.25">
      <c r="A15" s="177" t="s">
        <v>4</v>
      </c>
      <c r="B15" s="178" t="s">
        <v>211</v>
      </c>
      <c r="C15" s="179">
        <f>SUM(C16:C44)+C45+C58+C78</f>
        <v>405373.80291099998</v>
      </c>
      <c r="D15" s="179">
        <f t="shared" ref="D15:N15" si="0">SUM(D16:D44)+D45+D58+D78</f>
        <v>74723.29168200001</v>
      </c>
      <c r="E15" s="179">
        <f t="shared" si="0"/>
        <v>330650.51122900005</v>
      </c>
      <c r="F15" s="179">
        <f t="shared" si="0"/>
        <v>392378.50232100009</v>
      </c>
      <c r="G15" s="179">
        <f t="shared" si="0"/>
        <v>66352.389124000008</v>
      </c>
      <c r="H15" s="179">
        <f t="shared" si="0"/>
        <v>326026.11319700006</v>
      </c>
      <c r="I15" s="179">
        <f t="shared" si="0"/>
        <v>0</v>
      </c>
      <c r="J15" s="179">
        <f t="shared" si="0"/>
        <v>0</v>
      </c>
      <c r="K15" s="179">
        <f t="shared" si="0"/>
        <v>587.78332399999999</v>
      </c>
      <c r="L15" s="179">
        <f t="shared" si="0"/>
        <v>0</v>
      </c>
      <c r="M15" s="179">
        <f t="shared" si="0"/>
        <v>587.78332399999999</v>
      </c>
      <c r="N15" s="179">
        <f t="shared" si="0"/>
        <v>229.09378400000003</v>
      </c>
      <c r="O15" s="210">
        <f>F15/C15*100</f>
        <v>96.794242623307113</v>
      </c>
      <c r="P15" s="213">
        <f>G15/D15*100</f>
        <v>88.797465462811701</v>
      </c>
      <c r="Q15" s="205">
        <f>H15/E15*100</f>
        <v>98.601424200189044</v>
      </c>
    </row>
    <row r="16" spans="1:17" s="176" customFormat="1" ht="15.75" x14ac:dyDescent="0.25">
      <c r="A16" s="180">
        <v>1</v>
      </c>
      <c r="B16" s="181" t="s">
        <v>137</v>
      </c>
      <c r="C16" s="182">
        <f>D16+E16</f>
        <v>3194</v>
      </c>
      <c r="D16" s="182"/>
      <c r="E16" s="182">
        <f>3225-31</f>
        <v>3194</v>
      </c>
      <c r="F16" s="182">
        <f>G16+H16+I16+J16</f>
        <v>3194</v>
      </c>
      <c r="G16" s="182"/>
      <c r="H16" s="182">
        <v>3194</v>
      </c>
      <c r="I16" s="182"/>
      <c r="J16" s="182"/>
      <c r="K16" s="182">
        <f>L16+M16</f>
        <v>0</v>
      </c>
      <c r="L16" s="182"/>
      <c r="M16" s="182"/>
      <c r="N16" s="183"/>
      <c r="O16" s="211">
        <f>F16/C16*100</f>
        <v>100</v>
      </c>
      <c r="P16" s="206"/>
      <c r="Q16" s="207">
        <f>H16/E16*100</f>
        <v>100</v>
      </c>
    </row>
    <row r="17" spans="1:18" s="176" customFormat="1" ht="15.75" x14ac:dyDescent="0.25">
      <c r="A17" s="184">
        <v>2</v>
      </c>
      <c r="B17" s="185" t="s">
        <v>138</v>
      </c>
      <c r="C17" s="186">
        <f t="shared" ref="C17:C80" si="1">D17+E17</f>
        <v>8177.6280809999998</v>
      </c>
      <c r="D17" s="186">
        <v>5.7</v>
      </c>
      <c r="E17" s="186">
        <f>8205.928081-34</f>
        <v>8171.928081</v>
      </c>
      <c r="F17" s="186">
        <f t="shared" ref="F17:F43" si="2">G17+H17+I17+J17</f>
        <v>8150.0918449999999</v>
      </c>
      <c r="G17" s="186">
        <v>5.6529999999999996</v>
      </c>
      <c r="H17" s="186">
        <f>8144.438845</f>
        <v>8144.4388449999997</v>
      </c>
      <c r="I17" s="186"/>
      <c r="J17" s="186"/>
      <c r="K17" s="186">
        <f t="shared" ref="K17:K80" si="3">L17+M17</f>
        <v>0</v>
      </c>
      <c r="L17" s="186"/>
      <c r="M17" s="186"/>
      <c r="N17" s="187"/>
      <c r="O17" s="212">
        <f t="shared" ref="O17:O80" si="4">F17/C17*100</f>
        <v>99.663273558943359</v>
      </c>
      <c r="P17" s="208">
        <f>G17/D17*100</f>
        <v>99.175438596491219</v>
      </c>
      <c r="Q17" s="209">
        <f>H16/E16*100</f>
        <v>100</v>
      </c>
    </row>
    <row r="18" spans="1:18" s="176" customFormat="1" ht="15.75" x14ac:dyDescent="0.25">
      <c r="A18" s="184">
        <v>3</v>
      </c>
      <c r="B18" s="190" t="s">
        <v>139</v>
      </c>
      <c r="C18" s="186">
        <f t="shared" si="1"/>
        <v>3186.9242939999999</v>
      </c>
      <c r="D18" s="186"/>
      <c r="E18" s="186">
        <f>3185.188-7+8.736294</f>
        <v>3186.9242939999999</v>
      </c>
      <c r="F18" s="186">
        <f t="shared" si="2"/>
        <v>2953.0994369999999</v>
      </c>
      <c r="G18" s="186"/>
      <c r="H18" s="186">
        <v>2953.0994369999999</v>
      </c>
      <c r="I18" s="186"/>
      <c r="J18" s="186"/>
      <c r="K18" s="186">
        <f t="shared" si="3"/>
        <v>0</v>
      </c>
      <c r="L18" s="186"/>
      <c r="M18" s="186"/>
      <c r="N18" s="187">
        <v>8.7362939999999991</v>
      </c>
      <c r="O18" s="212">
        <f t="shared" si="4"/>
        <v>92.662993048180638</v>
      </c>
      <c r="P18" s="208"/>
      <c r="Q18" s="209">
        <f t="shared" ref="Q18:Q78" si="5">H17/E17*100</f>
        <v>99.663613828615141</v>
      </c>
    </row>
    <row r="19" spans="1:18" s="176" customFormat="1" ht="15.75" x14ac:dyDescent="0.25">
      <c r="A19" s="184">
        <v>4</v>
      </c>
      <c r="B19" s="185" t="s">
        <v>140</v>
      </c>
      <c r="C19" s="186">
        <f t="shared" si="1"/>
        <v>8836.6365249999999</v>
      </c>
      <c r="D19" s="186"/>
      <c r="E19" s="186">
        <f>8842.354-13+7.282525</f>
        <v>8836.6365249999999</v>
      </c>
      <c r="F19" s="186">
        <f t="shared" si="2"/>
        <v>8072.3188469999996</v>
      </c>
      <c r="G19" s="186"/>
      <c r="H19" s="186">
        <v>8072.3188469999996</v>
      </c>
      <c r="I19" s="186"/>
      <c r="J19" s="186"/>
      <c r="K19" s="186">
        <f t="shared" si="3"/>
        <v>0</v>
      </c>
      <c r="L19" s="186"/>
      <c r="M19" s="186"/>
      <c r="N19" s="187">
        <v>7.2825249999999997</v>
      </c>
      <c r="O19" s="212">
        <f t="shared" si="4"/>
        <v>91.350581458933547</v>
      </c>
      <c r="P19" s="208"/>
      <c r="Q19" s="209">
        <f t="shared" si="5"/>
        <v>92.662993048180638</v>
      </c>
    </row>
    <row r="20" spans="1:18" s="176" customFormat="1" ht="15.75" x14ac:dyDescent="0.25">
      <c r="A20" s="184">
        <v>5</v>
      </c>
      <c r="B20" s="185" t="s">
        <v>141</v>
      </c>
      <c r="C20" s="186">
        <f t="shared" si="1"/>
        <v>781.63928600000008</v>
      </c>
      <c r="D20" s="186"/>
      <c r="E20" s="186">
        <f>784.671-5+1.968286</f>
        <v>781.63928600000008</v>
      </c>
      <c r="F20" s="186">
        <f t="shared" si="2"/>
        <v>779.67100000000005</v>
      </c>
      <c r="G20" s="186"/>
      <c r="H20" s="186">
        <v>779.67100000000005</v>
      </c>
      <c r="I20" s="186"/>
      <c r="J20" s="186"/>
      <c r="K20" s="186">
        <f t="shared" si="3"/>
        <v>0</v>
      </c>
      <c r="L20" s="186"/>
      <c r="M20" s="186"/>
      <c r="N20" s="187">
        <v>1.968286</v>
      </c>
      <c r="O20" s="212">
        <f t="shared" si="4"/>
        <v>99.748184867975027</v>
      </c>
      <c r="P20" s="208"/>
      <c r="Q20" s="209">
        <f t="shared" si="5"/>
        <v>91.350581458933547</v>
      </c>
    </row>
    <row r="21" spans="1:18" s="176" customFormat="1" ht="15.75" x14ac:dyDescent="0.25">
      <c r="A21" s="184">
        <v>6</v>
      </c>
      <c r="B21" s="185" t="s">
        <v>142</v>
      </c>
      <c r="C21" s="186">
        <f t="shared" si="1"/>
        <v>10541.763158</v>
      </c>
      <c r="D21" s="186">
        <v>1513.8648000000001</v>
      </c>
      <c r="E21" s="191">
        <f>9088.563033-61+0.335325</f>
        <v>9027.8983580000004</v>
      </c>
      <c r="F21" s="186">
        <f t="shared" si="2"/>
        <v>6728.7433550000005</v>
      </c>
      <c r="G21" s="186">
        <v>71.138999999999996</v>
      </c>
      <c r="H21" s="186">
        <v>6657.6043550000004</v>
      </c>
      <c r="I21" s="186"/>
      <c r="J21" s="186"/>
      <c r="K21" s="186">
        <f t="shared" si="3"/>
        <v>0</v>
      </c>
      <c r="L21" s="186"/>
      <c r="M21" s="186"/>
      <c r="N21" s="187">
        <v>0.33532499999999998</v>
      </c>
      <c r="O21" s="212">
        <f t="shared" si="4"/>
        <v>63.829392238751346</v>
      </c>
      <c r="P21" s="208">
        <f>G21/D21*100</f>
        <v>4.6991646810203918</v>
      </c>
      <c r="Q21" s="209">
        <f t="shared" si="5"/>
        <v>99.748184867975027</v>
      </c>
    </row>
    <row r="22" spans="1:18" s="176" customFormat="1" ht="15.75" x14ac:dyDescent="0.25">
      <c r="A22" s="184">
        <v>7</v>
      </c>
      <c r="B22" s="185" t="s">
        <v>143</v>
      </c>
      <c r="C22" s="186">
        <f t="shared" si="1"/>
        <v>761.78499999999997</v>
      </c>
      <c r="D22" s="186"/>
      <c r="E22" s="186">
        <f>764.785-3</f>
        <v>761.78499999999997</v>
      </c>
      <c r="F22" s="186">
        <f t="shared" si="2"/>
        <v>761.78499999999997</v>
      </c>
      <c r="G22" s="186"/>
      <c r="H22" s="186">
        <f>761.785</f>
        <v>761.78499999999997</v>
      </c>
      <c r="I22" s="186"/>
      <c r="J22" s="186"/>
      <c r="K22" s="186">
        <f t="shared" si="3"/>
        <v>0</v>
      </c>
      <c r="L22" s="186"/>
      <c r="M22" s="186"/>
      <c r="N22" s="187"/>
      <c r="O22" s="212">
        <f t="shared" si="4"/>
        <v>100</v>
      </c>
      <c r="P22" s="208"/>
      <c r="Q22" s="209">
        <f t="shared" si="5"/>
        <v>73.744786338898223</v>
      </c>
    </row>
    <row r="23" spans="1:18" s="176" customFormat="1" ht="15.75" x14ac:dyDescent="0.25">
      <c r="A23" s="192">
        <v>8</v>
      </c>
      <c r="B23" s="185" t="s">
        <v>204</v>
      </c>
      <c r="C23" s="186">
        <f t="shared" si="1"/>
        <v>1035.059</v>
      </c>
      <c r="D23" s="186"/>
      <c r="E23" s="186">
        <f>1040.059-5</f>
        <v>1035.059</v>
      </c>
      <c r="F23" s="186">
        <f t="shared" si="2"/>
        <v>1035.059</v>
      </c>
      <c r="G23" s="186"/>
      <c r="H23" s="186">
        <v>1035.059</v>
      </c>
      <c r="I23" s="186"/>
      <c r="J23" s="186"/>
      <c r="K23" s="186">
        <f t="shared" si="3"/>
        <v>0</v>
      </c>
      <c r="L23" s="186"/>
      <c r="M23" s="186"/>
      <c r="N23" s="187"/>
      <c r="O23" s="212">
        <f t="shared" si="4"/>
        <v>100</v>
      </c>
      <c r="P23" s="208"/>
      <c r="Q23" s="209">
        <f t="shared" si="5"/>
        <v>100</v>
      </c>
    </row>
    <row r="24" spans="1:18" s="176" customFormat="1" ht="15.75" x14ac:dyDescent="0.25">
      <c r="A24" s="192">
        <v>9</v>
      </c>
      <c r="B24" s="185" t="s">
        <v>205</v>
      </c>
      <c r="C24" s="186">
        <f t="shared" si="1"/>
        <v>12842.508</v>
      </c>
      <c r="D24" s="186"/>
      <c r="E24" s="186">
        <f>13048.458-195.95-10</f>
        <v>12842.508</v>
      </c>
      <c r="F24" s="186">
        <f t="shared" si="2"/>
        <v>12738.44245</v>
      </c>
      <c r="G24" s="186"/>
      <c r="H24" s="186">
        <f>12920.428774-181.986324</f>
        <v>12738.44245</v>
      </c>
      <c r="I24" s="186"/>
      <c r="J24" s="186"/>
      <c r="K24" s="186">
        <f t="shared" si="3"/>
        <v>181.986324</v>
      </c>
      <c r="L24" s="186"/>
      <c r="M24" s="186">
        <v>181.986324</v>
      </c>
      <c r="N24" s="187"/>
      <c r="O24" s="212">
        <f t="shared" si="4"/>
        <v>99.189678916298902</v>
      </c>
      <c r="P24" s="208"/>
      <c r="Q24" s="209">
        <f t="shared" si="5"/>
        <v>100</v>
      </c>
      <c r="R24" s="193"/>
    </row>
    <row r="25" spans="1:18" s="176" customFormat="1" ht="15.75" x14ac:dyDescent="0.25">
      <c r="A25" s="184">
        <v>10</v>
      </c>
      <c r="B25" s="185" t="s">
        <v>144</v>
      </c>
      <c r="C25" s="186">
        <f>D25+E25</f>
        <v>2235.1556260000002</v>
      </c>
      <c r="D25" s="186"/>
      <c r="E25" s="186">
        <f>2241.936-7+0.219626</f>
        <v>2235.1556260000002</v>
      </c>
      <c r="F25" s="186">
        <f t="shared" si="2"/>
        <v>2234.9360000000001</v>
      </c>
      <c r="G25" s="186"/>
      <c r="H25" s="186">
        <v>2234.9360000000001</v>
      </c>
      <c r="I25" s="186"/>
      <c r="J25" s="186"/>
      <c r="K25" s="186">
        <f t="shared" si="3"/>
        <v>0</v>
      </c>
      <c r="L25" s="186"/>
      <c r="M25" s="186"/>
      <c r="N25" s="187">
        <v>0.21962599999999999</v>
      </c>
      <c r="O25" s="212">
        <f t="shared" si="4"/>
        <v>99.990174017529455</v>
      </c>
      <c r="P25" s="208"/>
      <c r="Q25" s="209">
        <f t="shared" si="5"/>
        <v>99.189678916298902</v>
      </c>
    </row>
    <row r="26" spans="1:18" s="176" customFormat="1" ht="15.75" x14ac:dyDescent="0.25">
      <c r="A26" s="192">
        <v>11</v>
      </c>
      <c r="B26" s="185" t="s">
        <v>206</v>
      </c>
      <c r="C26" s="186">
        <f t="shared" si="1"/>
        <v>14693.415364</v>
      </c>
      <c r="D26" s="186"/>
      <c r="E26" s="186">
        <f>15143.415364-450</f>
        <v>14693.415364</v>
      </c>
      <c r="F26" s="186">
        <f t="shared" si="2"/>
        <v>14642.794902</v>
      </c>
      <c r="G26" s="186"/>
      <c r="H26" s="186">
        <v>14642.794902</v>
      </c>
      <c r="I26" s="186"/>
      <c r="J26" s="186"/>
      <c r="K26" s="186">
        <f t="shared" si="3"/>
        <v>0</v>
      </c>
      <c r="L26" s="186"/>
      <c r="M26" s="186"/>
      <c r="N26" s="187"/>
      <c r="O26" s="212">
        <f t="shared" si="4"/>
        <v>99.655488797219832</v>
      </c>
      <c r="P26" s="208"/>
      <c r="Q26" s="209">
        <f t="shared" si="5"/>
        <v>99.990174017529455</v>
      </c>
    </row>
    <row r="27" spans="1:18" s="176" customFormat="1" ht="15.75" x14ac:dyDescent="0.25">
      <c r="A27" s="184">
        <v>12</v>
      </c>
      <c r="B27" s="185" t="s">
        <v>145</v>
      </c>
      <c r="C27" s="186">
        <f t="shared" si="1"/>
        <v>3528.5723720000001</v>
      </c>
      <c r="D27" s="186">
        <v>2100</v>
      </c>
      <c r="E27" s="186">
        <f>1871.05-439.05-5+1.572372</f>
        <v>1428.5723720000001</v>
      </c>
      <c r="F27" s="186">
        <f t="shared" si="2"/>
        <v>3527</v>
      </c>
      <c r="G27" s="186">
        <v>2100</v>
      </c>
      <c r="H27" s="186">
        <f>1832.797-405.797</f>
        <v>1427</v>
      </c>
      <c r="I27" s="186"/>
      <c r="J27" s="186"/>
      <c r="K27" s="186">
        <f t="shared" si="3"/>
        <v>405.79700000000003</v>
      </c>
      <c r="L27" s="186"/>
      <c r="M27" s="186">
        <v>405.79700000000003</v>
      </c>
      <c r="N27" s="187">
        <v>1.5723720000000001</v>
      </c>
      <c r="O27" s="212">
        <f t="shared" si="4"/>
        <v>99.955438862116665</v>
      </c>
      <c r="P27" s="208">
        <f>G27/D27*100</f>
        <v>100</v>
      </c>
      <c r="Q27" s="209">
        <f t="shared" si="5"/>
        <v>99.655488797219832</v>
      </c>
    </row>
    <row r="28" spans="1:18" s="176" customFormat="1" ht="15.75" x14ac:dyDescent="0.25">
      <c r="A28" s="184">
        <v>13</v>
      </c>
      <c r="B28" s="185" t="s">
        <v>146</v>
      </c>
      <c r="C28" s="186">
        <f t="shared" si="1"/>
        <v>160.61108999999999</v>
      </c>
      <c r="D28" s="186"/>
      <c r="E28" s="186">
        <f>139.95109+20.66</f>
        <v>160.61108999999999</v>
      </c>
      <c r="F28" s="186">
        <f t="shared" si="2"/>
        <v>160.61108999999999</v>
      </c>
      <c r="G28" s="186"/>
      <c r="H28" s="186">
        <f>139.95109+20.66</f>
        <v>160.61108999999999</v>
      </c>
      <c r="I28" s="186"/>
      <c r="J28" s="186"/>
      <c r="K28" s="186">
        <f t="shared" si="3"/>
        <v>0</v>
      </c>
      <c r="L28" s="186"/>
      <c r="M28" s="186"/>
      <c r="N28" s="187"/>
      <c r="O28" s="212">
        <f t="shared" si="4"/>
        <v>100</v>
      </c>
      <c r="P28" s="208"/>
      <c r="Q28" s="209">
        <f t="shared" si="5"/>
        <v>99.889934032687549</v>
      </c>
    </row>
    <row r="29" spans="1:18" s="176" customFormat="1" ht="15.75" x14ac:dyDescent="0.25">
      <c r="A29" s="184">
        <v>14</v>
      </c>
      <c r="B29" s="185" t="s">
        <v>147</v>
      </c>
      <c r="C29" s="186">
        <f t="shared" si="1"/>
        <v>931.46929999999998</v>
      </c>
      <c r="D29" s="186"/>
      <c r="E29" s="186">
        <f>932.23+1.2393-2</f>
        <v>931.46929999999998</v>
      </c>
      <c r="F29" s="186">
        <f t="shared" si="2"/>
        <v>930.23</v>
      </c>
      <c r="G29" s="186"/>
      <c r="H29" s="186">
        <v>930.23</v>
      </c>
      <c r="I29" s="186"/>
      <c r="J29" s="186"/>
      <c r="K29" s="186">
        <f t="shared" si="3"/>
        <v>0</v>
      </c>
      <c r="L29" s="186"/>
      <c r="M29" s="186"/>
      <c r="N29" s="187">
        <v>1.2393000000000001</v>
      </c>
      <c r="O29" s="212">
        <f t="shared" si="4"/>
        <v>99.866952136801515</v>
      </c>
      <c r="P29" s="208"/>
      <c r="Q29" s="209">
        <f t="shared" si="5"/>
        <v>100</v>
      </c>
    </row>
    <row r="30" spans="1:18" s="176" customFormat="1" ht="15.75" x14ac:dyDescent="0.25">
      <c r="A30" s="184">
        <v>15</v>
      </c>
      <c r="B30" s="185" t="s">
        <v>148</v>
      </c>
      <c r="C30" s="186">
        <f t="shared" si="1"/>
        <v>1574.4459999999999</v>
      </c>
      <c r="D30" s="186"/>
      <c r="E30" s="186">
        <f>1578.446-4</f>
        <v>1574.4459999999999</v>
      </c>
      <c r="F30" s="186">
        <f t="shared" si="2"/>
        <v>1574.4459999999999</v>
      </c>
      <c r="G30" s="186"/>
      <c r="H30" s="186">
        <f>1574.446</f>
        <v>1574.4459999999999</v>
      </c>
      <c r="I30" s="186"/>
      <c r="J30" s="186"/>
      <c r="K30" s="186">
        <f t="shared" si="3"/>
        <v>0</v>
      </c>
      <c r="L30" s="186"/>
      <c r="M30" s="186"/>
      <c r="N30" s="187"/>
      <c r="O30" s="212">
        <f t="shared" si="4"/>
        <v>100</v>
      </c>
      <c r="P30" s="208"/>
      <c r="Q30" s="209">
        <f t="shared" si="5"/>
        <v>99.866952136801515</v>
      </c>
    </row>
    <row r="31" spans="1:18" s="176" customFormat="1" ht="15.75" x14ac:dyDescent="0.25">
      <c r="A31" s="184">
        <v>16</v>
      </c>
      <c r="B31" s="185" t="s">
        <v>149</v>
      </c>
      <c r="C31" s="186">
        <f t="shared" si="1"/>
        <v>936.197</v>
      </c>
      <c r="D31" s="186"/>
      <c r="E31" s="186">
        <f>939.197-3</f>
        <v>936.197</v>
      </c>
      <c r="F31" s="186">
        <f t="shared" si="2"/>
        <v>936.197</v>
      </c>
      <c r="G31" s="186"/>
      <c r="H31" s="186">
        <v>936.197</v>
      </c>
      <c r="I31" s="186"/>
      <c r="J31" s="186"/>
      <c r="K31" s="186">
        <f t="shared" si="3"/>
        <v>0</v>
      </c>
      <c r="L31" s="186"/>
      <c r="M31" s="186"/>
      <c r="N31" s="187"/>
      <c r="O31" s="212">
        <f t="shared" si="4"/>
        <v>100</v>
      </c>
      <c r="P31" s="208"/>
      <c r="Q31" s="209">
        <f t="shared" si="5"/>
        <v>100</v>
      </c>
    </row>
    <row r="32" spans="1:18" s="176" customFormat="1" ht="15.75" x14ac:dyDescent="0.25">
      <c r="A32" s="184">
        <v>17</v>
      </c>
      <c r="B32" s="185" t="s">
        <v>150</v>
      </c>
      <c r="C32" s="186">
        <f t="shared" si="1"/>
        <v>851.76</v>
      </c>
      <c r="D32" s="186"/>
      <c r="E32" s="186">
        <f>854.76-3</f>
        <v>851.76</v>
      </c>
      <c r="F32" s="186">
        <f t="shared" si="2"/>
        <v>851.76</v>
      </c>
      <c r="G32" s="186"/>
      <c r="H32" s="186">
        <v>851.76</v>
      </c>
      <c r="I32" s="186"/>
      <c r="J32" s="186"/>
      <c r="K32" s="186">
        <f t="shared" si="3"/>
        <v>0</v>
      </c>
      <c r="L32" s="186"/>
      <c r="M32" s="186"/>
      <c r="N32" s="187"/>
      <c r="O32" s="212">
        <f t="shared" si="4"/>
        <v>100</v>
      </c>
      <c r="P32" s="208"/>
      <c r="Q32" s="209">
        <f t="shared" si="5"/>
        <v>100</v>
      </c>
    </row>
    <row r="33" spans="1:18" s="176" customFormat="1" ht="15.75" x14ac:dyDescent="0.25">
      <c r="A33" s="184">
        <v>18</v>
      </c>
      <c r="B33" s="185" t="s">
        <v>151</v>
      </c>
      <c r="C33" s="186">
        <f t="shared" si="1"/>
        <v>664.17624999999998</v>
      </c>
      <c r="D33" s="186"/>
      <c r="E33" s="186">
        <f>665-4+3.17625</f>
        <v>664.17624999999998</v>
      </c>
      <c r="F33" s="186">
        <f t="shared" si="2"/>
        <v>661</v>
      </c>
      <c r="G33" s="186"/>
      <c r="H33" s="186">
        <v>661</v>
      </c>
      <c r="I33" s="186"/>
      <c r="J33" s="186"/>
      <c r="K33" s="186">
        <f t="shared" si="3"/>
        <v>0</v>
      </c>
      <c r="L33" s="186"/>
      <c r="M33" s="186"/>
      <c r="N33" s="187">
        <v>3.17625</v>
      </c>
      <c r="O33" s="212">
        <f t="shared" si="4"/>
        <v>99.521776034599256</v>
      </c>
      <c r="P33" s="208"/>
      <c r="Q33" s="209">
        <f t="shared" si="5"/>
        <v>100</v>
      </c>
    </row>
    <row r="34" spans="1:18" s="176" customFormat="1" ht="15.75" x14ac:dyDescent="0.25">
      <c r="A34" s="184">
        <v>19</v>
      </c>
      <c r="B34" s="185" t="s">
        <v>152</v>
      </c>
      <c r="C34" s="186">
        <f t="shared" si="1"/>
        <v>437.8</v>
      </c>
      <c r="D34" s="186"/>
      <c r="E34" s="186">
        <f>438.8-1</f>
        <v>437.8</v>
      </c>
      <c r="F34" s="186">
        <f t="shared" si="2"/>
        <v>437.8</v>
      </c>
      <c r="G34" s="186"/>
      <c r="H34" s="186">
        <f>437.8</f>
        <v>437.8</v>
      </c>
      <c r="I34" s="186"/>
      <c r="J34" s="186"/>
      <c r="K34" s="186">
        <f t="shared" si="3"/>
        <v>0</v>
      </c>
      <c r="L34" s="186"/>
      <c r="M34" s="186"/>
      <c r="N34" s="187"/>
      <c r="O34" s="212">
        <f t="shared" si="4"/>
        <v>100</v>
      </c>
      <c r="P34" s="208"/>
      <c r="Q34" s="209">
        <f t="shared" si="5"/>
        <v>99.521776034599256</v>
      </c>
    </row>
    <row r="35" spans="1:18" s="176" customFormat="1" ht="15.75" x14ac:dyDescent="0.25">
      <c r="A35" s="184">
        <v>20</v>
      </c>
      <c r="B35" s="185" t="s">
        <v>207</v>
      </c>
      <c r="C35" s="186">
        <f t="shared" si="1"/>
        <v>2814.0840000000003</v>
      </c>
      <c r="D35" s="186"/>
      <c r="E35" s="186">
        <f>2879.784-65.7</f>
        <v>2814.0840000000003</v>
      </c>
      <c r="F35" s="186">
        <f t="shared" si="2"/>
        <v>2813.4789999999998</v>
      </c>
      <c r="G35" s="186"/>
      <c r="H35" s="186">
        <v>2813.4789999999998</v>
      </c>
      <c r="I35" s="186"/>
      <c r="J35" s="186"/>
      <c r="K35" s="186">
        <f t="shared" si="3"/>
        <v>0</v>
      </c>
      <c r="L35" s="186"/>
      <c r="M35" s="186"/>
      <c r="N35" s="187"/>
      <c r="O35" s="212">
        <f t="shared" si="4"/>
        <v>99.978500997127298</v>
      </c>
      <c r="P35" s="208"/>
      <c r="Q35" s="209">
        <f t="shared" si="5"/>
        <v>100</v>
      </c>
    </row>
    <row r="36" spans="1:18" s="176" customFormat="1" ht="15.75" x14ac:dyDescent="0.25">
      <c r="A36" s="184">
        <v>21</v>
      </c>
      <c r="B36" s="185" t="s">
        <v>212</v>
      </c>
      <c r="C36" s="186">
        <f t="shared" si="1"/>
        <v>1366.6410000000001</v>
      </c>
      <c r="D36" s="186"/>
      <c r="E36" s="186">
        <f>1370.641-4</f>
        <v>1366.6410000000001</v>
      </c>
      <c r="F36" s="186">
        <f t="shared" si="2"/>
        <v>1317.5909999999999</v>
      </c>
      <c r="G36" s="186"/>
      <c r="H36" s="186">
        <v>1317.5909999999999</v>
      </c>
      <c r="I36" s="186"/>
      <c r="J36" s="186"/>
      <c r="K36" s="186">
        <f t="shared" si="3"/>
        <v>0</v>
      </c>
      <c r="L36" s="186"/>
      <c r="M36" s="186"/>
      <c r="N36" s="187"/>
      <c r="O36" s="212">
        <f t="shared" si="4"/>
        <v>96.4109082048614</v>
      </c>
      <c r="P36" s="208"/>
      <c r="Q36" s="209">
        <f t="shared" si="5"/>
        <v>99.978500997127298</v>
      </c>
    </row>
    <row r="37" spans="1:18" s="176" customFormat="1" ht="15.75" x14ac:dyDescent="0.25">
      <c r="A37" s="184">
        <v>22</v>
      </c>
      <c r="B37" s="185" t="s">
        <v>153</v>
      </c>
      <c r="C37" s="186">
        <f t="shared" si="1"/>
        <v>3159.8</v>
      </c>
      <c r="D37" s="186"/>
      <c r="E37" s="186">
        <f>3167.8-8</f>
        <v>3159.8</v>
      </c>
      <c r="F37" s="186">
        <f t="shared" si="2"/>
        <v>3123.35</v>
      </c>
      <c r="G37" s="186"/>
      <c r="H37" s="186">
        <v>3123.35</v>
      </c>
      <c r="I37" s="186"/>
      <c r="J37" s="186"/>
      <c r="K37" s="186">
        <f t="shared" si="3"/>
        <v>0</v>
      </c>
      <c r="L37" s="186"/>
      <c r="M37" s="186"/>
      <c r="N37" s="187"/>
      <c r="O37" s="212">
        <f t="shared" si="4"/>
        <v>98.846445977593504</v>
      </c>
      <c r="P37" s="208"/>
      <c r="Q37" s="209">
        <f t="shared" si="5"/>
        <v>96.4109082048614</v>
      </c>
    </row>
    <row r="38" spans="1:18" s="176" customFormat="1" ht="15.75" x14ac:dyDescent="0.25">
      <c r="A38" s="184">
        <v>23</v>
      </c>
      <c r="B38" s="185" t="s">
        <v>154</v>
      </c>
      <c r="C38" s="186">
        <f t="shared" si="1"/>
        <v>361</v>
      </c>
      <c r="D38" s="186"/>
      <c r="E38" s="186">
        <f>362-1</f>
        <v>361</v>
      </c>
      <c r="F38" s="186">
        <f t="shared" si="2"/>
        <v>361</v>
      </c>
      <c r="G38" s="186"/>
      <c r="H38" s="186">
        <v>361</v>
      </c>
      <c r="I38" s="186"/>
      <c r="J38" s="186"/>
      <c r="K38" s="186">
        <f t="shared" si="3"/>
        <v>0</v>
      </c>
      <c r="L38" s="186"/>
      <c r="M38" s="186"/>
      <c r="N38" s="187"/>
      <c r="O38" s="212">
        <f t="shared" si="4"/>
        <v>100</v>
      </c>
      <c r="P38" s="208"/>
      <c r="Q38" s="209">
        <f t="shared" si="5"/>
        <v>98.846445977593504</v>
      </c>
    </row>
    <row r="39" spans="1:18" s="176" customFormat="1" ht="15.75" x14ac:dyDescent="0.25">
      <c r="A39" s="184">
        <v>24</v>
      </c>
      <c r="B39" s="185" t="s">
        <v>208</v>
      </c>
      <c r="C39" s="186">
        <f t="shared" si="1"/>
        <v>2164.9037699999999</v>
      </c>
      <c r="D39" s="186"/>
      <c r="E39" s="186">
        <f>2165-2+1.90377</f>
        <v>2164.9037699999999</v>
      </c>
      <c r="F39" s="186">
        <f t="shared" si="2"/>
        <v>2103.2490029999999</v>
      </c>
      <c r="G39" s="186"/>
      <c r="H39" s="186">
        <v>2103.2490029999999</v>
      </c>
      <c r="I39" s="186"/>
      <c r="J39" s="186"/>
      <c r="K39" s="186">
        <f t="shared" si="3"/>
        <v>0</v>
      </c>
      <c r="L39" s="186"/>
      <c r="M39" s="186"/>
      <c r="N39" s="187">
        <v>1.90377</v>
      </c>
      <c r="O39" s="212">
        <f t="shared" si="4"/>
        <v>97.152078172971173</v>
      </c>
      <c r="P39" s="208"/>
      <c r="Q39" s="209">
        <f t="shared" si="5"/>
        <v>100</v>
      </c>
    </row>
    <row r="40" spans="1:18" s="176" customFormat="1" ht="15.75" x14ac:dyDescent="0.25">
      <c r="A40" s="192">
        <v>25</v>
      </c>
      <c r="B40" s="185" t="s">
        <v>209</v>
      </c>
      <c r="C40" s="186">
        <f t="shared" si="1"/>
        <v>5203.1387180000002</v>
      </c>
      <c r="D40" s="186">
        <v>946.07529799999998</v>
      </c>
      <c r="E40" s="186">
        <f>4260.06342-3</f>
        <v>4257.0634200000004</v>
      </c>
      <c r="F40" s="186">
        <f t="shared" si="2"/>
        <v>5192.581784</v>
      </c>
      <c r="G40" s="186">
        <v>935.51836400000002</v>
      </c>
      <c r="H40" s="186">
        <v>4257.0634200000004</v>
      </c>
      <c r="I40" s="186"/>
      <c r="J40" s="186"/>
      <c r="K40" s="186">
        <f t="shared" si="3"/>
        <v>0</v>
      </c>
      <c r="L40" s="186"/>
      <c r="M40" s="186"/>
      <c r="N40" s="187"/>
      <c r="O40" s="212">
        <f t="shared" si="4"/>
        <v>99.797104506103622</v>
      </c>
      <c r="P40" s="208">
        <f>G40/D40*100</f>
        <v>98.884133850411558</v>
      </c>
      <c r="Q40" s="209">
        <f t="shared" si="5"/>
        <v>97.152078172971173</v>
      </c>
    </row>
    <row r="41" spans="1:18" s="176" customFormat="1" ht="15.75" x14ac:dyDescent="0.25">
      <c r="A41" s="184">
        <v>26</v>
      </c>
      <c r="B41" s="185" t="s">
        <v>155</v>
      </c>
      <c r="C41" s="186">
        <f t="shared" si="1"/>
        <v>70154.005976</v>
      </c>
      <c r="D41" s="186">
        <v>67021.819992000004</v>
      </c>
      <c r="E41" s="186">
        <f>3132.039+0.146984</f>
        <v>3132.1859840000002</v>
      </c>
      <c r="F41" s="186">
        <f t="shared" si="2"/>
        <v>63224.079658000002</v>
      </c>
      <c r="G41" s="186">
        <v>60210.662815000003</v>
      </c>
      <c r="H41" s="186">
        <v>3013.416843</v>
      </c>
      <c r="I41" s="186"/>
      <c r="J41" s="186"/>
      <c r="K41" s="186">
        <f t="shared" si="3"/>
        <v>0</v>
      </c>
      <c r="L41" s="186"/>
      <c r="M41" s="186"/>
      <c r="N41" s="187">
        <f>0.146984</f>
        <v>0.146984</v>
      </c>
      <c r="O41" s="212">
        <f t="shared" si="4"/>
        <v>90.121838059581719</v>
      </c>
      <c r="P41" s="208">
        <f>G41/D41*100</f>
        <v>89.837403433966713</v>
      </c>
      <c r="Q41" s="209">
        <f t="shared" si="5"/>
        <v>100</v>
      </c>
    </row>
    <row r="42" spans="1:18" s="176" customFormat="1" ht="15.75" x14ac:dyDescent="0.25">
      <c r="A42" s="192">
        <v>27</v>
      </c>
      <c r="B42" s="185" t="s">
        <v>156</v>
      </c>
      <c r="C42" s="186">
        <f t="shared" si="1"/>
        <v>7950.3127999999997</v>
      </c>
      <c r="D42" s="186"/>
      <c r="E42" s="186">
        <v>7950.3127999999997</v>
      </c>
      <c r="F42" s="186">
        <f t="shared" si="2"/>
        <v>7770.3127999999997</v>
      </c>
      <c r="G42" s="186"/>
      <c r="H42" s="186">
        <v>7770.3127999999997</v>
      </c>
      <c r="I42" s="186"/>
      <c r="J42" s="186"/>
      <c r="K42" s="186">
        <f t="shared" si="3"/>
        <v>0</v>
      </c>
      <c r="L42" s="186"/>
      <c r="M42" s="186"/>
      <c r="N42" s="187"/>
      <c r="O42" s="212">
        <f t="shared" si="4"/>
        <v>97.735938138182433</v>
      </c>
      <c r="P42" s="208"/>
      <c r="Q42" s="209">
        <f t="shared" si="5"/>
        <v>96.208107002371406</v>
      </c>
    </row>
    <row r="43" spans="1:18" s="176" customFormat="1" ht="15.75" x14ac:dyDescent="0.25">
      <c r="A43" s="184">
        <v>28</v>
      </c>
      <c r="B43" s="185" t="s">
        <v>157</v>
      </c>
      <c r="C43" s="186">
        <f t="shared" si="1"/>
        <v>4287</v>
      </c>
      <c r="D43" s="186">
        <v>2000</v>
      </c>
      <c r="E43" s="186">
        <v>2287</v>
      </c>
      <c r="F43" s="186">
        <f t="shared" si="2"/>
        <v>4236.4767119999997</v>
      </c>
      <c r="G43" s="186">
        <v>1949.4767119999999</v>
      </c>
      <c r="H43" s="186">
        <v>2287</v>
      </c>
      <c r="I43" s="186"/>
      <c r="J43" s="186"/>
      <c r="K43" s="186">
        <f t="shared" si="3"/>
        <v>0</v>
      </c>
      <c r="L43" s="186"/>
      <c r="M43" s="186"/>
      <c r="N43" s="187"/>
      <c r="O43" s="212">
        <f t="shared" si="4"/>
        <v>98.821476836948904</v>
      </c>
      <c r="P43" s="208">
        <f>G43/D43*100</f>
        <v>97.473835599999987</v>
      </c>
      <c r="Q43" s="209">
        <f t="shared" si="5"/>
        <v>97.735938138182433</v>
      </c>
    </row>
    <row r="44" spans="1:18" s="176" customFormat="1" ht="15.75" x14ac:dyDescent="0.25">
      <c r="A44" s="192">
        <v>29</v>
      </c>
      <c r="B44" s="185" t="s">
        <v>158</v>
      </c>
      <c r="C44" s="186">
        <f t="shared" si="1"/>
        <v>10344.121592</v>
      </c>
      <c r="D44" s="186">
        <v>1135.831592</v>
      </c>
      <c r="E44" s="186">
        <f>5555.342+3652.948</f>
        <v>9208.2899999999991</v>
      </c>
      <c r="F44" s="186">
        <f>G44+H44+I44+J44</f>
        <v>10107.642780999999</v>
      </c>
      <c r="G44" s="186">
        <v>1079.9392330000001</v>
      </c>
      <c r="H44" s="186">
        <v>9027.7035479999995</v>
      </c>
      <c r="I44" s="186"/>
      <c r="J44" s="186"/>
      <c r="K44" s="186">
        <f t="shared" si="3"/>
        <v>0</v>
      </c>
      <c r="L44" s="186"/>
      <c r="M44" s="186"/>
      <c r="N44" s="187"/>
      <c r="O44" s="212">
        <f t="shared" si="4"/>
        <v>97.713882141690107</v>
      </c>
      <c r="P44" s="208">
        <f>G44/D44*100</f>
        <v>95.079168479406064</v>
      </c>
      <c r="Q44" s="209">
        <f t="shared" si="5"/>
        <v>100</v>
      </c>
    </row>
    <row r="45" spans="1:18" s="176" customFormat="1" ht="15.75" x14ac:dyDescent="0.25">
      <c r="A45" s="184">
        <v>30</v>
      </c>
      <c r="B45" s="185" t="s">
        <v>159</v>
      </c>
      <c r="C45" s="186">
        <f>SUM(C46:C57)</f>
        <v>52658.222716000004</v>
      </c>
      <c r="D45" s="186">
        <f t="shared" ref="D45:N45" si="6">SUM(D46:D57)</f>
        <v>0</v>
      </c>
      <c r="E45" s="186">
        <f t="shared" si="6"/>
        <v>52658.222716000004</v>
      </c>
      <c r="F45" s="186">
        <f t="shared" si="6"/>
        <v>52637.1855</v>
      </c>
      <c r="G45" s="186">
        <f t="shared" si="6"/>
        <v>0</v>
      </c>
      <c r="H45" s="186">
        <f t="shared" si="6"/>
        <v>52637.1855</v>
      </c>
      <c r="I45" s="186">
        <f t="shared" si="6"/>
        <v>0</v>
      </c>
      <c r="J45" s="186">
        <f t="shared" si="6"/>
        <v>0</v>
      </c>
      <c r="K45" s="186">
        <f t="shared" si="6"/>
        <v>0</v>
      </c>
      <c r="L45" s="186">
        <f t="shared" si="6"/>
        <v>0</v>
      </c>
      <c r="M45" s="186">
        <f t="shared" si="6"/>
        <v>0</v>
      </c>
      <c r="N45" s="186">
        <f t="shared" si="6"/>
        <v>20.717216000000001</v>
      </c>
      <c r="O45" s="212">
        <f t="shared" si="4"/>
        <v>99.960049513798694</v>
      </c>
      <c r="P45" s="208"/>
      <c r="Q45" s="209">
        <f t="shared" si="5"/>
        <v>98.038870930433347</v>
      </c>
      <c r="R45" s="193"/>
    </row>
    <row r="46" spans="1:18" s="176" customFormat="1" ht="15.75" hidden="1" x14ac:dyDescent="0.25">
      <c r="A46" s="192">
        <v>1</v>
      </c>
      <c r="B46" s="185" t="s">
        <v>282</v>
      </c>
      <c r="C46" s="186">
        <f t="shared" si="1"/>
        <v>2739.2820000000002</v>
      </c>
      <c r="D46" s="186"/>
      <c r="E46" s="186">
        <f>2742.282-3</f>
        <v>2739.2820000000002</v>
      </c>
      <c r="F46" s="186">
        <f t="shared" ref="F46:F91" si="7">G46+H46+I46+J46</f>
        <v>2739.2820000000002</v>
      </c>
      <c r="G46" s="186"/>
      <c r="H46" s="186">
        <v>2739.2820000000002</v>
      </c>
      <c r="I46" s="186"/>
      <c r="J46" s="186"/>
      <c r="K46" s="186">
        <f t="shared" si="3"/>
        <v>0</v>
      </c>
      <c r="L46" s="194"/>
      <c r="M46" s="194"/>
      <c r="N46" s="187"/>
      <c r="O46" s="212">
        <f t="shared" si="4"/>
        <v>100</v>
      </c>
      <c r="P46" s="208"/>
      <c r="Q46" s="209">
        <f t="shared" si="5"/>
        <v>99.960049513798694</v>
      </c>
    </row>
    <row r="47" spans="1:18" s="176" customFormat="1" ht="15.75" hidden="1" x14ac:dyDescent="0.25">
      <c r="A47" s="192">
        <v>2</v>
      </c>
      <c r="B47" s="185" t="s">
        <v>283</v>
      </c>
      <c r="C47" s="186">
        <f t="shared" si="1"/>
        <v>2539.3004999999998</v>
      </c>
      <c r="D47" s="186"/>
      <c r="E47" s="186">
        <f>2542.3005-3</f>
        <v>2539.3004999999998</v>
      </c>
      <c r="F47" s="186">
        <f t="shared" si="7"/>
        <v>2539.3004999999998</v>
      </c>
      <c r="G47" s="186"/>
      <c r="H47" s="186">
        <v>2539.3004999999998</v>
      </c>
      <c r="I47" s="186"/>
      <c r="J47" s="186"/>
      <c r="K47" s="186">
        <f t="shared" si="3"/>
        <v>0</v>
      </c>
      <c r="L47" s="194"/>
      <c r="M47" s="194"/>
      <c r="N47" s="187"/>
      <c r="O47" s="212">
        <f t="shared" si="4"/>
        <v>100</v>
      </c>
      <c r="P47" s="208"/>
      <c r="Q47" s="209">
        <f t="shared" si="5"/>
        <v>100</v>
      </c>
    </row>
    <row r="48" spans="1:18" s="176" customFormat="1" ht="15.75" hidden="1" x14ac:dyDescent="0.25">
      <c r="A48" s="192">
        <v>3</v>
      </c>
      <c r="B48" s="185" t="s">
        <v>284</v>
      </c>
      <c r="C48" s="186">
        <f t="shared" si="1"/>
        <v>5921.2735000000002</v>
      </c>
      <c r="D48" s="186"/>
      <c r="E48" s="186">
        <f>5930.2735-9</f>
        <v>5921.2735000000002</v>
      </c>
      <c r="F48" s="186">
        <f t="shared" si="7"/>
        <v>5921.2735000000002</v>
      </c>
      <c r="G48" s="186"/>
      <c r="H48" s="186">
        <v>5921.2735000000002</v>
      </c>
      <c r="I48" s="186"/>
      <c r="J48" s="186"/>
      <c r="K48" s="186">
        <f t="shared" si="3"/>
        <v>0</v>
      </c>
      <c r="L48" s="194"/>
      <c r="M48" s="194"/>
      <c r="N48" s="187"/>
      <c r="O48" s="212">
        <f t="shared" si="4"/>
        <v>100</v>
      </c>
      <c r="P48" s="208"/>
      <c r="Q48" s="209">
        <f t="shared" si="5"/>
        <v>100</v>
      </c>
    </row>
    <row r="49" spans="1:17" s="176" customFormat="1" ht="15.75" hidden="1" x14ac:dyDescent="0.25">
      <c r="A49" s="192">
        <v>4</v>
      </c>
      <c r="B49" s="185" t="s">
        <v>285</v>
      </c>
      <c r="C49" s="186">
        <f t="shared" si="1"/>
        <v>4794.4594999999999</v>
      </c>
      <c r="D49" s="186"/>
      <c r="E49" s="186">
        <f>4801.4595-7</f>
        <v>4794.4594999999999</v>
      </c>
      <c r="F49" s="186">
        <f t="shared" si="7"/>
        <v>4794.4594999999999</v>
      </c>
      <c r="G49" s="186"/>
      <c r="H49" s="186">
        <v>4794.4594999999999</v>
      </c>
      <c r="I49" s="186"/>
      <c r="J49" s="186"/>
      <c r="K49" s="186">
        <f t="shared" si="3"/>
        <v>0</v>
      </c>
      <c r="L49" s="194"/>
      <c r="M49" s="194"/>
      <c r="N49" s="187"/>
      <c r="O49" s="212">
        <f t="shared" si="4"/>
        <v>100</v>
      </c>
      <c r="P49" s="208"/>
      <c r="Q49" s="209">
        <f t="shared" si="5"/>
        <v>100</v>
      </c>
    </row>
    <row r="50" spans="1:17" s="176" customFormat="1" ht="15.75" hidden="1" x14ac:dyDescent="0.25">
      <c r="A50" s="192">
        <v>5</v>
      </c>
      <c r="B50" s="185" t="s">
        <v>286</v>
      </c>
      <c r="C50" s="186">
        <f t="shared" si="1"/>
        <v>5102.125</v>
      </c>
      <c r="D50" s="186"/>
      <c r="E50" s="186">
        <f>5109.125-7</f>
        <v>5102.125</v>
      </c>
      <c r="F50" s="186">
        <f t="shared" si="7"/>
        <v>5101.8050000000003</v>
      </c>
      <c r="G50" s="186"/>
      <c r="H50" s="186">
        <v>5101.8050000000003</v>
      </c>
      <c r="I50" s="186"/>
      <c r="J50" s="186"/>
      <c r="K50" s="186">
        <f t="shared" si="3"/>
        <v>0</v>
      </c>
      <c r="L50" s="194"/>
      <c r="M50" s="194"/>
      <c r="N50" s="187"/>
      <c r="O50" s="212">
        <f t="shared" si="4"/>
        <v>99.993728103486305</v>
      </c>
      <c r="P50" s="208"/>
      <c r="Q50" s="209">
        <f t="shared" si="5"/>
        <v>100</v>
      </c>
    </row>
    <row r="51" spans="1:17" s="176" customFormat="1" ht="15.75" hidden="1" x14ac:dyDescent="0.25">
      <c r="A51" s="192">
        <v>6</v>
      </c>
      <c r="B51" s="185" t="s">
        <v>287</v>
      </c>
      <c r="C51" s="186">
        <f t="shared" si="1"/>
        <v>5458.9584999999997</v>
      </c>
      <c r="D51" s="186"/>
      <c r="E51" s="186">
        <f>5452.3305-7+13.628</f>
        <v>5458.9584999999997</v>
      </c>
      <c r="F51" s="186">
        <f t="shared" si="7"/>
        <v>5445.3305</v>
      </c>
      <c r="G51" s="186"/>
      <c r="H51" s="186">
        <v>5445.3305</v>
      </c>
      <c r="I51" s="186"/>
      <c r="J51" s="186"/>
      <c r="K51" s="186">
        <f t="shared" si="3"/>
        <v>0</v>
      </c>
      <c r="L51" s="194"/>
      <c r="M51" s="194"/>
      <c r="N51" s="187">
        <v>13.628</v>
      </c>
      <c r="O51" s="212">
        <f t="shared" si="4"/>
        <v>99.750355310449791</v>
      </c>
      <c r="P51" s="208"/>
      <c r="Q51" s="209">
        <f t="shared" si="5"/>
        <v>99.993728103486305</v>
      </c>
    </row>
    <row r="52" spans="1:17" s="176" customFormat="1" ht="15.75" hidden="1" x14ac:dyDescent="0.25">
      <c r="A52" s="192">
        <v>7</v>
      </c>
      <c r="B52" s="185" t="s">
        <v>288</v>
      </c>
      <c r="C52" s="186">
        <f t="shared" si="1"/>
        <v>1743.665</v>
      </c>
      <c r="D52" s="186"/>
      <c r="E52" s="186">
        <f>1748.665-5</f>
        <v>1743.665</v>
      </c>
      <c r="F52" s="186">
        <f t="shared" si="7"/>
        <v>1743.665</v>
      </c>
      <c r="G52" s="186"/>
      <c r="H52" s="186">
        <v>1743.665</v>
      </c>
      <c r="I52" s="186"/>
      <c r="J52" s="186"/>
      <c r="K52" s="186">
        <f t="shared" si="3"/>
        <v>0</v>
      </c>
      <c r="L52" s="194"/>
      <c r="M52" s="194"/>
      <c r="N52" s="187"/>
      <c r="O52" s="212">
        <f t="shared" si="4"/>
        <v>100</v>
      </c>
      <c r="P52" s="208"/>
      <c r="Q52" s="209">
        <f t="shared" si="5"/>
        <v>99.750355310449791</v>
      </c>
    </row>
    <row r="53" spans="1:17" s="176" customFormat="1" ht="15.75" hidden="1" x14ac:dyDescent="0.25">
      <c r="A53" s="192">
        <v>8</v>
      </c>
      <c r="B53" s="185" t="s">
        <v>289</v>
      </c>
      <c r="C53" s="186">
        <f t="shared" si="1"/>
        <v>4538.8514999999998</v>
      </c>
      <c r="D53" s="186"/>
      <c r="E53" s="186">
        <f>4541.8515-3</f>
        <v>4538.8514999999998</v>
      </c>
      <c r="F53" s="186">
        <f t="shared" si="7"/>
        <v>4538.8514999999998</v>
      </c>
      <c r="G53" s="186"/>
      <c r="H53" s="186">
        <v>4538.8514999999998</v>
      </c>
      <c r="I53" s="186"/>
      <c r="J53" s="186"/>
      <c r="K53" s="186">
        <f t="shared" si="3"/>
        <v>0</v>
      </c>
      <c r="L53" s="194"/>
      <c r="M53" s="194"/>
      <c r="N53" s="187"/>
      <c r="O53" s="212">
        <f t="shared" si="4"/>
        <v>100</v>
      </c>
      <c r="P53" s="208"/>
      <c r="Q53" s="209">
        <f t="shared" si="5"/>
        <v>100</v>
      </c>
    </row>
    <row r="54" spans="1:17" s="176" customFormat="1" ht="15.75" hidden="1" x14ac:dyDescent="0.25">
      <c r="A54" s="192">
        <v>9</v>
      </c>
      <c r="B54" s="185" t="s">
        <v>290</v>
      </c>
      <c r="C54" s="186">
        <f t="shared" si="1"/>
        <v>4187.8845000000001</v>
      </c>
      <c r="D54" s="186"/>
      <c r="E54" s="186">
        <f>4192.8845-5</f>
        <v>4187.8845000000001</v>
      </c>
      <c r="F54" s="186">
        <f t="shared" si="7"/>
        <v>4187.8845000000001</v>
      </c>
      <c r="G54" s="186"/>
      <c r="H54" s="186">
        <v>4187.8845000000001</v>
      </c>
      <c r="I54" s="186"/>
      <c r="J54" s="186"/>
      <c r="K54" s="186">
        <f t="shared" si="3"/>
        <v>0</v>
      </c>
      <c r="L54" s="194"/>
      <c r="M54" s="194"/>
      <c r="N54" s="187"/>
      <c r="O54" s="212">
        <f t="shared" si="4"/>
        <v>100</v>
      </c>
      <c r="P54" s="208"/>
      <c r="Q54" s="209">
        <f t="shared" si="5"/>
        <v>100</v>
      </c>
    </row>
    <row r="55" spans="1:17" s="176" customFormat="1" ht="15.75" hidden="1" x14ac:dyDescent="0.25">
      <c r="A55" s="192">
        <v>10</v>
      </c>
      <c r="B55" s="185" t="s">
        <v>291</v>
      </c>
      <c r="C55" s="186">
        <f t="shared" si="1"/>
        <v>5924.2702159999999</v>
      </c>
      <c r="D55" s="186"/>
      <c r="E55" s="186">
        <f>5927.181-10+7.089216</f>
        <v>5924.2702159999999</v>
      </c>
      <c r="F55" s="186">
        <f t="shared" si="7"/>
        <v>5917.1809999999996</v>
      </c>
      <c r="G55" s="186"/>
      <c r="H55" s="186">
        <v>5917.1809999999996</v>
      </c>
      <c r="I55" s="186"/>
      <c r="J55" s="186"/>
      <c r="K55" s="186">
        <f t="shared" si="3"/>
        <v>0</v>
      </c>
      <c r="L55" s="194"/>
      <c r="M55" s="194"/>
      <c r="N55" s="187">
        <v>7.0892160000000004</v>
      </c>
      <c r="O55" s="212">
        <f t="shared" si="4"/>
        <v>99.880336045765546</v>
      </c>
      <c r="P55" s="208"/>
      <c r="Q55" s="209">
        <f t="shared" si="5"/>
        <v>100</v>
      </c>
    </row>
    <row r="56" spans="1:17" s="176" customFormat="1" ht="15.75" hidden="1" x14ac:dyDescent="0.25">
      <c r="A56" s="192">
        <v>11</v>
      </c>
      <c r="B56" s="185" t="s">
        <v>292</v>
      </c>
      <c r="C56" s="186">
        <f t="shared" si="1"/>
        <v>1925.2829999999999</v>
      </c>
      <c r="D56" s="186"/>
      <c r="E56" s="186">
        <f>1928.283-3</f>
        <v>1925.2829999999999</v>
      </c>
      <c r="F56" s="186">
        <f t="shared" si="7"/>
        <v>1925.2829999999999</v>
      </c>
      <c r="G56" s="186"/>
      <c r="H56" s="186">
        <v>1925.2829999999999</v>
      </c>
      <c r="I56" s="186"/>
      <c r="J56" s="186"/>
      <c r="K56" s="186">
        <f t="shared" si="3"/>
        <v>0</v>
      </c>
      <c r="L56" s="194"/>
      <c r="M56" s="194"/>
      <c r="N56" s="187"/>
      <c r="O56" s="212">
        <f t="shared" si="4"/>
        <v>100</v>
      </c>
      <c r="P56" s="208"/>
      <c r="Q56" s="209">
        <f t="shared" si="5"/>
        <v>99.880336045765546</v>
      </c>
    </row>
    <row r="57" spans="1:17" s="176" customFormat="1" ht="15.75" hidden="1" x14ac:dyDescent="0.25">
      <c r="A57" s="192">
        <v>12</v>
      </c>
      <c r="B57" s="185" t="s">
        <v>293</v>
      </c>
      <c r="C57" s="186">
        <f t="shared" si="1"/>
        <v>7782.8694999999998</v>
      </c>
      <c r="D57" s="186"/>
      <c r="E57" s="186">
        <f>7790.8695-8</f>
        <v>7782.8694999999998</v>
      </c>
      <c r="F57" s="186">
        <f t="shared" si="7"/>
        <v>7782.8694999999998</v>
      </c>
      <c r="G57" s="186"/>
      <c r="H57" s="186">
        <v>7782.8694999999998</v>
      </c>
      <c r="I57" s="186"/>
      <c r="J57" s="186"/>
      <c r="K57" s="186">
        <f t="shared" si="3"/>
        <v>0</v>
      </c>
      <c r="L57" s="194"/>
      <c r="M57" s="194"/>
      <c r="N57" s="187"/>
      <c r="O57" s="212">
        <f t="shared" si="4"/>
        <v>100</v>
      </c>
      <c r="P57" s="208"/>
      <c r="Q57" s="209">
        <f t="shared" si="5"/>
        <v>100</v>
      </c>
    </row>
    <row r="58" spans="1:17" s="176" customFormat="1" ht="15.75" x14ac:dyDescent="0.25">
      <c r="A58" s="192">
        <v>31</v>
      </c>
      <c r="B58" s="196" t="s">
        <v>160</v>
      </c>
      <c r="C58" s="186">
        <f>SUM(C59:C77)</f>
        <v>95980.287735999998</v>
      </c>
      <c r="D58" s="186">
        <f t="shared" ref="D58:N58" si="8">SUM(D59:D77)</f>
        <v>0</v>
      </c>
      <c r="E58" s="186">
        <f t="shared" si="8"/>
        <v>95980.287735999998</v>
      </c>
      <c r="F58" s="186">
        <f t="shared" si="8"/>
        <v>95797.388743000018</v>
      </c>
      <c r="G58" s="186">
        <f t="shared" si="8"/>
        <v>0</v>
      </c>
      <c r="H58" s="186">
        <f t="shared" si="8"/>
        <v>95797.388743000018</v>
      </c>
      <c r="I58" s="186">
        <f t="shared" si="8"/>
        <v>0</v>
      </c>
      <c r="J58" s="186">
        <f t="shared" si="8"/>
        <v>0</v>
      </c>
      <c r="K58" s="186">
        <f t="shared" si="8"/>
        <v>0</v>
      </c>
      <c r="L58" s="186">
        <f t="shared" si="8"/>
        <v>0</v>
      </c>
      <c r="M58" s="186">
        <f t="shared" si="8"/>
        <v>0</v>
      </c>
      <c r="N58" s="186">
        <f t="shared" si="8"/>
        <v>181.79583600000001</v>
      </c>
      <c r="O58" s="212">
        <f t="shared" si="4"/>
        <v>99.809441087004174</v>
      </c>
      <c r="P58" s="208"/>
      <c r="Q58" s="209">
        <f t="shared" si="5"/>
        <v>100</v>
      </c>
    </row>
    <row r="59" spans="1:17" s="176" customFormat="1" ht="15.75" hidden="1" x14ac:dyDescent="0.25">
      <c r="A59" s="192">
        <v>1</v>
      </c>
      <c r="B59" s="196" t="s">
        <v>294</v>
      </c>
      <c r="C59" s="186">
        <f t="shared" si="1"/>
        <v>7328.31</v>
      </c>
      <c r="D59" s="186"/>
      <c r="E59" s="186">
        <f>7335.31-7</f>
        <v>7328.31</v>
      </c>
      <c r="F59" s="186">
        <f t="shared" si="7"/>
        <v>7328.31</v>
      </c>
      <c r="G59" s="186"/>
      <c r="H59" s="186">
        <f>7328.31</f>
        <v>7328.31</v>
      </c>
      <c r="I59" s="186"/>
      <c r="J59" s="186"/>
      <c r="K59" s="186">
        <f t="shared" si="3"/>
        <v>0</v>
      </c>
      <c r="L59" s="194"/>
      <c r="M59" s="194"/>
      <c r="N59" s="187"/>
      <c r="O59" s="212">
        <f t="shared" si="4"/>
        <v>100</v>
      </c>
      <c r="P59" s="208"/>
      <c r="Q59" s="209">
        <f t="shared" si="5"/>
        <v>99.809441087004174</v>
      </c>
    </row>
    <row r="60" spans="1:17" s="176" customFormat="1" ht="15.75" hidden="1" x14ac:dyDescent="0.25">
      <c r="A60" s="192">
        <v>2</v>
      </c>
      <c r="B60" s="196" t="s">
        <v>295</v>
      </c>
      <c r="C60" s="186">
        <f t="shared" si="1"/>
        <v>4362.3109999999997</v>
      </c>
      <c r="D60" s="186"/>
      <c r="E60" s="186">
        <f>4367.311-5</f>
        <v>4362.3109999999997</v>
      </c>
      <c r="F60" s="186">
        <f t="shared" si="7"/>
        <v>4362.3109999999997</v>
      </c>
      <c r="G60" s="186"/>
      <c r="H60" s="186">
        <v>4362.3109999999997</v>
      </c>
      <c r="I60" s="186"/>
      <c r="J60" s="186"/>
      <c r="K60" s="186">
        <f t="shared" si="3"/>
        <v>0</v>
      </c>
      <c r="L60" s="194"/>
      <c r="M60" s="194"/>
      <c r="N60" s="187"/>
      <c r="O60" s="212">
        <f t="shared" si="4"/>
        <v>100</v>
      </c>
      <c r="P60" s="208"/>
      <c r="Q60" s="209">
        <f t="shared" si="5"/>
        <v>100</v>
      </c>
    </row>
    <row r="61" spans="1:17" s="176" customFormat="1" ht="15.75" hidden="1" x14ac:dyDescent="0.25">
      <c r="A61" s="192">
        <v>3</v>
      </c>
      <c r="B61" s="196" t="s">
        <v>296</v>
      </c>
      <c r="C61" s="186">
        <f t="shared" si="1"/>
        <v>5233.7986489999994</v>
      </c>
      <c r="D61" s="186"/>
      <c r="E61" s="186">
        <f>5236.27431-3+0.524339</f>
        <v>5233.7986489999994</v>
      </c>
      <c r="F61" s="186">
        <f t="shared" si="7"/>
        <v>5233.2743099999998</v>
      </c>
      <c r="G61" s="186"/>
      <c r="H61" s="186">
        <v>5233.2743099999998</v>
      </c>
      <c r="I61" s="186"/>
      <c r="J61" s="186"/>
      <c r="K61" s="186">
        <f t="shared" si="3"/>
        <v>0</v>
      </c>
      <c r="L61" s="187"/>
      <c r="M61" s="187"/>
      <c r="N61" s="187">
        <v>0.524339</v>
      </c>
      <c r="O61" s="212">
        <f t="shared" si="4"/>
        <v>99.989981674207129</v>
      </c>
      <c r="P61" s="208"/>
      <c r="Q61" s="209">
        <f t="shared" si="5"/>
        <v>100</v>
      </c>
    </row>
    <row r="62" spans="1:17" s="176" customFormat="1" ht="15.75" hidden="1" x14ac:dyDescent="0.25">
      <c r="A62" s="192">
        <v>4</v>
      </c>
      <c r="B62" s="196" t="s">
        <v>297</v>
      </c>
      <c r="C62" s="186">
        <f t="shared" si="1"/>
        <v>6120.5360000000001</v>
      </c>
      <c r="D62" s="186"/>
      <c r="E62" s="186">
        <f>6125.536-5</f>
        <v>6120.5360000000001</v>
      </c>
      <c r="F62" s="186">
        <f t="shared" si="7"/>
        <v>6120.5360000000001</v>
      </c>
      <c r="G62" s="186"/>
      <c r="H62" s="186">
        <v>6120.5360000000001</v>
      </c>
      <c r="I62" s="186"/>
      <c r="J62" s="186"/>
      <c r="K62" s="186">
        <f t="shared" si="3"/>
        <v>0</v>
      </c>
      <c r="L62" s="194"/>
      <c r="M62" s="194"/>
      <c r="N62" s="187"/>
      <c r="O62" s="212">
        <f t="shared" si="4"/>
        <v>100</v>
      </c>
      <c r="P62" s="208"/>
      <c r="Q62" s="209">
        <f t="shared" si="5"/>
        <v>99.989981674207129</v>
      </c>
    </row>
    <row r="63" spans="1:17" s="176" customFormat="1" ht="15.75" hidden="1" x14ac:dyDescent="0.25">
      <c r="A63" s="192">
        <v>5</v>
      </c>
      <c r="B63" s="196" t="s">
        <v>298</v>
      </c>
      <c r="C63" s="186">
        <f t="shared" si="1"/>
        <v>5437.1890000000003</v>
      </c>
      <c r="D63" s="186"/>
      <c r="E63" s="186">
        <f>5444.189-7</f>
        <v>5437.1890000000003</v>
      </c>
      <c r="F63" s="186">
        <f t="shared" si="7"/>
        <v>5437.1890000000003</v>
      </c>
      <c r="G63" s="186"/>
      <c r="H63" s="186">
        <v>5437.1890000000003</v>
      </c>
      <c r="I63" s="186"/>
      <c r="J63" s="186"/>
      <c r="K63" s="186">
        <f t="shared" si="3"/>
        <v>0</v>
      </c>
      <c r="L63" s="194"/>
      <c r="M63" s="194"/>
      <c r="N63" s="187"/>
      <c r="O63" s="212">
        <f t="shared" si="4"/>
        <v>100</v>
      </c>
      <c r="P63" s="208"/>
      <c r="Q63" s="209">
        <f t="shared" si="5"/>
        <v>100</v>
      </c>
    </row>
    <row r="64" spans="1:17" s="176" customFormat="1" ht="15.75" hidden="1" x14ac:dyDescent="0.25">
      <c r="A64" s="192">
        <v>6</v>
      </c>
      <c r="B64" s="196" t="s">
        <v>299</v>
      </c>
      <c r="C64" s="186">
        <f t="shared" si="1"/>
        <v>2928.107</v>
      </c>
      <c r="D64" s="186"/>
      <c r="E64" s="186">
        <f>2932.107-4</f>
        <v>2928.107</v>
      </c>
      <c r="F64" s="186">
        <f t="shared" si="7"/>
        <v>2928.107</v>
      </c>
      <c r="G64" s="186"/>
      <c r="H64" s="186">
        <v>2928.107</v>
      </c>
      <c r="I64" s="186"/>
      <c r="J64" s="186"/>
      <c r="K64" s="186">
        <f t="shared" si="3"/>
        <v>0</v>
      </c>
      <c r="L64" s="194"/>
      <c r="M64" s="194"/>
      <c r="N64" s="187"/>
      <c r="O64" s="212">
        <f t="shared" si="4"/>
        <v>100</v>
      </c>
      <c r="P64" s="208"/>
      <c r="Q64" s="209">
        <f t="shared" si="5"/>
        <v>100</v>
      </c>
    </row>
    <row r="65" spans="1:17" s="176" customFormat="1" ht="15.75" hidden="1" x14ac:dyDescent="0.25">
      <c r="A65" s="192">
        <v>7</v>
      </c>
      <c r="B65" s="196" t="s">
        <v>300</v>
      </c>
      <c r="C65" s="186">
        <f t="shared" si="1"/>
        <v>2817.3452699999998</v>
      </c>
      <c r="D65" s="186"/>
      <c r="E65" s="186">
        <f>2820.34527-3</f>
        <v>2817.3452699999998</v>
      </c>
      <c r="F65" s="186">
        <f t="shared" si="7"/>
        <v>2817.3452699999998</v>
      </c>
      <c r="G65" s="186"/>
      <c r="H65" s="186">
        <v>2817.3452699999998</v>
      </c>
      <c r="I65" s="186"/>
      <c r="J65" s="186"/>
      <c r="K65" s="186">
        <f t="shared" si="3"/>
        <v>0</v>
      </c>
      <c r="L65" s="194"/>
      <c r="M65" s="194"/>
      <c r="N65" s="187"/>
      <c r="O65" s="212">
        <f t="shared" si="4"/>
        <v>100</v>
      </c>
      <c r="P65" s="208"/>
      <c r="Q65" s="209">
        <f t="shared" si="5"/>
        <v>100</v>
      </c>
    </row>
    <row r="66" spans="1:17" s="176" customFormat="1" ht="15.75" hidden="1" x14ac:dyDescent="0.25">
      <c r="A66" s="192">
        <v>8</v>
      </c>
      <c r="B66" s="196" t="s">
        <v>301</v>
      </c>
      <c r="C66" s="186">
        <f t="shared" si="1"/>
        <v>5616.3029999999999</v>
      </c>
      <c r="D66" s="186"/>
      <c r="E66" s="186">
        <f>5620.303-4</f>
        <v>5616.3029999999999</v>
      </c>
      <c r="F66" s="186">
        <f t="shared" si="7"/>
        <v>5616.3029999999999</v>
      </c>
      <c r="G66" s="186"/>
      <c r="H66" s="186">
        <v>5616.3029999999999</v>
      </c>
      <c r="I66" s="186"/>
      <c r="J66" s="186"/>
      <c r="K66" s="186">
        <f t="shared" si="3"/>
        <v>0</v>
      </c>
      <c r="L66" s="194"/>
      <c r="M66" s="194"/>
      <c r="N66" s="187"/>
      <c r="O66" s="212">
        <f t="shared" si="4"/>
        <v>100</v>
      </c>
      <c r="P66" s="208"/>
      <c r="Q66" s="209">
        <f t="shared" si="5"/>
        <v>100</v>
      </c>
    </row>
    <row r="67" spans="1:17" s="176" customFormat="1" ht="15.75" hidden="1" x14ac:dyDescent="0.25">
      <c r="A67" s="192">
        <v>9</v>
      </c>
      <c r="B67" s="196" t="s">
        <v>302</v>
      </c>
      <c r="C67" s="186">
        <f t="shared" si="1"/>
        <v>3945.0810000000001</v>
      </c>
      <c r="D67" s="186"/>
      <c r="E67" s="186">
        <f>3948.081-3</f>
        <v>3945.0810000000001</v>
      </c>
      <c r="F67" s="186">
        <f t="shared" si="7"/>
        <v>3945.0810000000001</v>
      </c>
      <c r="G67" s="186"/>
      <c r="H67" s="186">
        <v>3945.0810000000001</v>
      </c>
      <c r="I67" s="186"/>
      <c r="J67" s="186"/>
      <c r="K67" s="186">
        <f t="shared" si="3"/>
        <v>0</v>
      </c>
      <c r="L67" s="194"/>
      <c r="M67" s="194"/>
      <c r="N67" s="187"/>
      <c r="O67" s="212">
        <f t="shared" si="4"/>
        <v>100</v>
      </c>
      <c r="P67" s="208"/>
      <c r="Q67" s="209">
        <f t="shared" si="5"/>
        <v>100</v>
      </c>
    </row>
    <row r="68" spans="1:17" s="176" customFormat="1" ht="15.75" hidden="1" x14ac:dyDescent="0.25">
      <c r="A68" s="192">
        <v>10</v>
      </c>
      <c r="B68" s="196" t="s">
        <v>303</v>
      </c>
      <c r="C68" s="186">
        <f t="shared" si="1"/>
        <v>2799.9760000000001</v>
      </c>
      <c r="D68" s="186"/>
      <c r="E68" s="186">
        <f>2804.976-5</f>
        <v>2799.9760000000001</v>
      </c>
      <c r="F68" s="186">
        <f t="shared" si="7"/>
        <v>2799.9760000000001</v>
      </c>
      <c r="G68" s="186"/>
      <c r="H68" s="186">
        <v>2799.9760000000001</v>
      </c>
      <c r="I68" s="186"/>
      <c r="J68" s="186"/>
      <c r="K68" s="186">
        <f t="shared" si="3"/>
        <v>0</v>
      </c>
      <c r="L68" s="194"/>
      <c r="M68" s="194"/>
      <c r="N68" s="187"/>
      <c r="O68" s="212">
        <f t="shared" si="4"/>
        <v>100</v>
      </c>
      <c r="P68" s="208"/>
      <c r="Q68" s="209">
        <f t="shared" si="5"/>
        <v>100</v>
      </c>
    </row>
    <row r="69" spans="1:17" s="176" customFormat="1" ht="15.75" hidden="1" x14ac:dyDescent="0.25">
      <c r="A69" s="192">
        <v>11</v>
      </c>
      <c r="B69" s="196" t="s">
        <v>304</v>
      </c>
      <c r="C69" s="186">
        <f t="shared" si="1"/>
        <v>5720.2645869999997</v>
      </c>
      <c r="D69" s="186"/>
      <c r="E69" s="186">
        <f>5717.991-6+8.273587</f>
        <v>5720.2645869999997</v>
      </c>
      <c r="F69" s="186">
        <f t="shared" si="7"/>
        <v>5711.991</v>
      </c>
      <c r="G69" s="186"/>
      <c r="H69" s="186">
        <v>5711.991</v>
      </c>
      <c r="I69" s="186"/>
      <c r="J69" s="186"/>
      <c r="K69" s="186">
        <f t="shared" si="3"/>
        <v>0</v>
      </c>
      <c r="L69" s="194"/>
      <c r="M69" s="194"/>
      <c r="N69" s="187">
        <v>8.2735869999999991</v>
      </c>
      <c r="O69" s="212">
        <f t="shared" si="4"/>
        <v>99.85536356100026</v>
      </c>
      <c r="P69" s="208"/>
      <c r="Q69" s="209">
        <f t="shared" si="5"/>
        <v>100</v>
      </c>
    </row>
    <row r="70" spans="1:17" s="176" customFormat="1" ht="15.75" hidden="1" x14ac:dyDescent="0.25">
      <c r="A70" s="192">
        <v>12</v>
      </c>
      <c r="B70" s="196" t="s">
        <v>305</v>
      </c>
      <c r="C70" s="186">
        <f t="shared" si="1"/>
        <v>5153.6325269999998</v>
      </c>
      <c r="D70" s="186"/>
      <c r="E70" s="186">
        <f>5154.361-4+3.271527</f>
        <v>5153.6325269999998</v>
      </c>
      <c r="F70" s="186">
        <f t="shared" si="7"/>
        <v>5150.3609999999999</v>
      </c>
      <c r="G70" s="186"/>
      <c r="H70" s="186">
        <v>5150.3609999999999</v>
      </c>
      <c r="I70" s="186"/>
      <c r="J70" s="186"/>
      <c r="K70" s="186">
        <f t="shared" si="3"/>
        <v>0</v>
      </c>
      <c r="L70" s="194"/>
      <c r="M70" s="194"/>
      <c r="N70" s="187">
        <v>3.2715269999999999</v>
      </c>
      <c r="O70" s="212">
        <f t="shared" si="4"/>
        <v>99.936519979201847</v>
      </c>
      <c r="P70" s="208"/>
      <c r="Q70" s="209">
        <f t="shared" si="5"/>
        <v>99.85536356100026</v>
      </c>
    </row>
    <row r="71" spans="1:17" s="176" customFormat="1" ht="15.75" hidden="1" x14ac:dyDescent="0.25">
      <c r="A71" s="192">
        <v>13</v>
      </c>
      <c r="B71" s="196" t="s">
        <v>306</v>
      </c>
      <c r="C71" s="186">
        <f t="shared" si="1"/>
        <v>4476.0150000000003</v>
      </c>
      <c r="D71" s="186"/>
      <c r="E71" s="186">
        <f>4487.015-11</f>
        <v>4476.0150000000003</v>
      </c>
      <c r="F71" s="186">
        <f t="shared" si="7"/>
        <v>4476.0150000000003</v>
      </c>
      <c r="G71" s="186"/>
      <c r="H71" s="186">
        <v>4476.0150000000003</v>
      </c>
      <c r="I71" s="186"/>
      <c r="J71" s="186"/>
      <c r="K71" s="186">
        <f t="shared" si="3"/>
        <v>0</v>
      </c>
      <c r="L71" s="194"/>
      <c r="M71" s="194"/>
      <c r="N71" s="187"/>
      <c r="O71" s="212">
        <f t="shared" si="4"/>
        <v>100</v>
      </c>
      <c r="P71" s="208"/>
      <c r="Q71" s="209">
        <f t="shared" si="5"/>
        <v>99.936519979201847</v>
      </c>
    </row>
    <row r="72" spans="1:17" s="176" customFormat="1" ht="15.75" hidden="1" x14ac:dyDescent="0.25">
      <c r="A72" s="192">
        <v>14</v>
      </c>
      <c r="B72" s="196" t="s">
        <v>307</v>
      </c>
      <c r="C72" s="186">
        <f t="shared" si="1"/>
        <v>5322.3630000000003</v>
      </c>
      <c r="D72" s="186"/>
      <c r="E72" s="186">
        <f>5327.363-5</f>
        <v>5322.3630000000003</v>
      </c>
      <c r="F72" s="186">
        <f t="shared" si="7"/>
        <v>5322.3630000000003</v>
      </c>
      <c r="G72" s="186"/>
      <c r="H72" s="186">
        <v>5322.3630000000003</v>
      </c>
      <c r="I72" s="186"/>
      <c r="J72" s="186"/>
      <c r="K72" s="186">
        <f t="shared" si="3"/>
        <v>0</v>
      </c>
      <c r="L72" s="194"/>
      <c r="M72" s="194"/>
      <c r="N72" s="187"/>
      <c r="O72" s="212">
        <f t="shared" si="4"/>
        <v>100</v>
      </c>
      <c r="P72" s="208"/>
      <c r="Q72" s="209">
        <f t="shared" si="5"/>
        <v>100</v>
      </c>
    </row>
    <row r="73" spans="1:17" s="176" customFormat="1" ht="15.75" hidden="1" x14ac:dyDescent="0.25">
      <c r="A73" s="192">
        <v>15</v>
      </c>
      <c r="B73" s="196" t="s">
        <v>308</v>
      </c>
      <c r="C73" s="186">
        <f t="shared" si="1"/>
        <v>7890.8756940000003</v>
      </c>
      <c r="D73" s="186"/>
      <c r="E73" s="186">
        <f>755.225+7082.272+7.222694+61.156-15</f>
        <v>7890.8756940000003</v>
      </c>
      <c r="F73" s="186">
        <f t="shared" si="7"/>
        <v>7883.6530000000002</v>
      </c>
      <c r="G73" s="186"/>
      <c r="H73" s="186">
        <f>755.225+7067.272+61.156</f>
        <v>7883.6530000000002</v>
      </c>
      <c r="I73" s="186"/>
      <c r="J73" s="186"/>
      <c r="K73" s="186">
        <f t="shared" si="3"/>
        <v>0</v>
      </c>
      <c r="L73" s="194"/>
      <c r="M73" s="194"/>
      <c r="N73" s="187">
        <v>7.2226939999999997</v>
      </c>
      <c r="O73" s="212">
        <f t="shared" si="4"/>
        <v>99.908467776200155</v>
      </c>
      <c r="P73" s="208"/>
      <c r="Q73" s="209">
        <f t="shared" si="5"/>
        <v>100</v>
      </c>
    </row>
    <row r="74" spans="1:17" s="176" customFormat="1" ht="15.75" hidden="1" x14ac:dyDescent="0.25">
      <c r="A74" s="192">
        <v>16</v>
      </c>
      <c r="B74" s="196" t="s">
        <v>309</v>
      </c>
      <c r="C74" s="186">
        <f t="shared" si="1"/>
        <v>4933.3701480000009</v>
      </c>
      <c r="D74" s="186"/>
      <c r="E74" s="186">
        <f>1719.84292+3161.392655+6.334573+50.8-5</f>
        <v>4933.3701480000009</v>
      </c>
      <c r="F74" s="186">
        <f t="shared" si="7"/>
        <v>4926.0355750000008</v>
      </c>
      <c r="G74" s="186"/>
      <c r="H74" s="186">
        <f>1719.84292+3156.392655+49.8</f>
        <v>4926.0355750000008</v>
      </c>
      <c r="I74" s="186"/>
      <c r="J74" s="186"/>
      <c r="K74" s="186">
        <f t="shared" si="3"/>
        <v>0</v>
      </c>
      <c r="L74" s="194"/>
      <c r="M74" s="194"/>
      <c r="N74" s="187">
        <v>6.3345729999999998</v>
      </c>
      <c r="O74" s="212">
        <f t="shared" si="4"/>
        <v>99.851327332432703</v>
      </c>
      <c r="P74" s="208"/>
      <c r="Q74" s="209">
        <f t="shared" si="5"/>
        <v>99.908467776200155</v>
      </c>
    </row>
    <row r="75" spans="1:17" s="176" customFormat="1" ht="15.75" hidden="1" x14ac:dyDescent="0.25">
      <c r="A75" s="192">
        <v>17</v>
      </c>
      <c r="B75" s="196" t="s">
        <v>310</v>
      </c>
      <c r="C75" s="186">
        <f t="shared" si="1"/>
        <v>6719.5533489999998</v>
      </c>
      <c r="D75" s="186"/>
      <c r="E75" s="186">
        <f>435.268+5660.502+12.593349+622.19-11</f>
        <v>6719.5533489999998</v>
      </c>
      <c r="F75" s="186">
        <f t="shared" si="7"/>
        <v>6706.9600000000009</v>
      </c>
      <c r="G75" s="186"/>
      <c r="H75" s="186">
        <f>435.268+5649.502+622.19</f>
        <v>6706.9600000000009</v>
      </c>
      <c r="I75" s="186"/>
      <c r="J75" s="186"/>
      <c r="K75" s="186">
        <f t="shared" si="3"/>
        <v>0</v>
      </c>
      <c r="L75" s="194"/>
      <c r="M75" s="194"/>
      <c r="N75" s="187">
        <v>12.593349</v>
      </c>
      <c r="O75" s="212">
        <f t="shared" si="4"/>
        <v>99.812586516604213</v>
      </c>
      <c r="P75" s="208"/>
      <c r="Q75" s="209">
        <f t="shared" si="5"/>
        <v>99.851327332432703</v>
      </c>
    </row>
    <row r="76" spans="1:17" s="176" customFormat="1" ht="15.75" hidden="1" x14ac:dyDescent="0.25">
      <c r="A76" s="192">
        <v>18</v>
      </c>
      <c r="B76" s="196" t="s">
        <v>311</v>
      </c>
      <c r="C76" s="186">
        <f t="shared" si="1"/>
        <v>2340.231691</v>
      </c>
      <c r="D76" s="186"/>
      <c r="E76" s="186">
        <f>2337.709588+6.522103+1-5</f>
        <v>2340.231691</v>
      </c>
      <c r="F76" s="186">
        <f t="shared" si="7"/>
        <v>2333.7095880000002</v>
      </c>
      <c r="G76" s="186"/>
      <c r="H76" s="186">
        <f>2332.709588+1</f>
        <v>2333.7095880000002</v>
      </c>
      <c r="I76" s="186"/>
      <c r="J76" s="186"/>
      <c r="K76" s="186">
        <f t="shared" si="3"/>
        <v>0</v>
      </c>
      <c r="L76" s="194"/>
      <c r="M76" s="194"/>
      <c r="N76" s="187">
        <v>6.5221030000000004</v>
      </c>
      <c r="O76" s="212">
        <f t="shared" si="4"/>
        <v>99.72130524404561</v>
      </c>
      <c r="P76" s="208"/>
      <c r="Q76" s="209">
        <f t="shared" si="5"/>
        <v>99.812586516604213</v>
      </c>
    </row>
    <row r="77" spans="1:17" s="176" customFormat="1" ht="15.75" hidden="1" x14ac:dyDescent="0.25">
      <c r="A77" s="192">
        <v>19</v>
      </c>
      <c r="B77" s="196" t="s">
        <v>312</v>
      </c>
      <c r="C77" s="186">
        <f t="shared" si="1"/>
        <v>6835.024821</v>
      </c>
      <c r="D77" s="186"/>
      <c r="E77" s="186">
        <f>400.213+6090.542+0.952821+355.317-12</f>
        <v>6835.024821</v>
      </c>
      <c r="F77" s="186">
        <f t="shared" si="7"/>
        <v>6697.8680000000004</v>
      </c>
      <c r="G77" s="186"/>
      <c r="H77" s="186">
        <f>264.009+6078.542+355.317</f>
        <v>6697.8680000000004</v>
      </c>
      <c r="I77" s="186"/>
      <c r="J77" s="186"/>
      <c r="K77" s="186">
        <f t="shared" si="3"/>
        <v>0</v>
      </c>
      <c r="L77" s="194"/>
      <c r="M77" s="194"/>
      <c r="N77" s="187">
        <f>0.952821+136.100843</f>
        <v>137.053664</v>
      </c>
      <c r="O77" s="212">
        <f t="shared" si="4"/>
        <v>97.993323731925628</v>
      </c>
      <c r="P77" s="208"/>
      <c r="Q77" s="209">
        <f t="shared" si="5"/>
        <v>99.72130524404561</v>
      </c>
    </row>
    <row r="78" spans="1:17" s="176" customFormat="1" ht="15.75" x14ac:dyDescent="0.25">
      <c r="A78" s="184">
        <v>32</v>
      </c>
      <c r="B78" s="196" t="s">
        <v>161</v>
      </c>
      <c r="C78" s="186">
        <f>SUM(C79:C91)</f>
        <v>73558.73825699999</v>
      </c>
      <c r="D78" s="186">
        <f t="shared" ref="D78:N78" si="9">SUM(D79:D91)</f>
        <v>0</v>
      </c>
      <c r="E78" s="186">
        <f t="shared" si="9"/>
        <v>73558.73825699999</v>
      </c>
      <c r="F78" s="186">
        <f t="shared" si="9"/>
        <v>73324.179413999998</v>
      </c>
      <c r="G78" s="186">
        <f t="shared" si="9"/>
        <v>0</v>
      </c>
      <c r="H78" s="186">
        <f t="shared" si="9"/>
        <v>73324.179413999998</v>
      </c>
      <c r="I78" s="186">
        <f t="shared" si="9"/>
        <v>0</v>
      </c>
      <c r="J78" s="186">
        <f t="shared" si="9"/>
        <v>0</v>
      </c>
      <c r="K78" s="186">
        <f t="shared" si="9"/>
        <v>0</v>
      </c>
      <c r="L78" s="186">
        <f t="shared" si="9"/>
        <v>0</v>
      </c>
      <c r="M78" s="186">
        <f t="shared" si="9"/>
        <v>0</v>
      </c>
      <c r="N78" s="186">
        <f t="shared" si="9"/>
        <v>0</v>
      </c>
      <c r="O78" s="212">
        <f t="shared" si="4"/>
        <v>99.681127152860498</v>
      </c>
      <c r="P78" s="208"/>
      <c r="Q78" s="209">
        <f t="shared" si="5"/>
        <v>97.993323731925628</v>
      </c>
    </row>
    <row r="79" spans="1:17" s="176" customFormat="1" ht="15.75" hidden="1" x14ac:dyDescent="0.25">
      <c r="A79" s="184">
        <v>1</v>
      </c>
      <c r="B79" s="196" t="s">
        <v>313</v>
      </c>
      <c r="C79" s="186">
        <f t="shared" si="1"/>
        <v>7513.0060000000003</v>
      </c>
      <c r="D79" s="186"/>
      <c r="E79" s="186">
        <f>7524.006-11</f>
        <v>7513.0060000000003</v>
      </c>
      <c r="F79" s="186">
        <f t="shared" si="7"/>
        <v>7524.0060000000003</v>
      </c>
      <c r="G79" s="186"/>
      <c r="H79" s="186">
        <v>7524.0060000000003</v>
      </c>
      <c r="I79" s="186"/>
      <c r="J79" s="186"/>
      <c r="K79" s="186">
        <f t="shared" si="3"/>
        <v>0</v>
      </c>
      <c r="L79" s="194"/>
      <c r="M79" s="194"/>
      <c r="N79" s="187">
        <v>0</v>
      </c>
      <c r="O79" s="188">
        <f t="shared" si="4"/>
        <v>100.14641276740628</v>
      </c>
      <c r="P79" s="189"/>
      <c r="Q79" s="195"/>
    </row>
    <row r="80" spans="1:17" s="176" customFormat="1" ht="15.75" hidden="1" x14ac:dyDescent="0.25">
      <c r="A80" s="184">
        <v>2</v>
      </c>
      <c r="B80" s="196" t="s">
        <v>314</v>
      </c>
      <c r="C80" s="186">
        <f t="shared" si="1"/>
        <v>6656.4965000000002</v>
      </c>
      <c r="D80" s="186"/>
      <c r="E80" s="186">
        <f>6660.4965-4</f>
        <v>6656.4965000000002</v>
      </c>
      <c r="F80" s="186">
        <f t="shared" si="7"/>
        <v>6653.5164999999997</v>
      </c>
      <c r="G80" s="186"/>
      <c r="H80" s="186">
        <v>6653.5164999999997</v>
      </c>
      <c r="I80" s="186"/>
      <c r="J80" s="186"/>
      <c r="K80" s="186">
        <f t="shared" si="3"/>
        <v>0</v>
      </c>
      <c r="L80" s="194"/>
      <c r="M80" s="194"/>
      <c r="N80" s="187">
        <v>0</v>
      </c>
      <c r="O80" s="188">
        <f t="shared" si="4"/>
        <v>99.955231704846526</v>
      </c>
      <c r="P80" s="189"/>
      <c r="Q80" s="195"/>
    </row>
    <row r="81" spans="1:17" s="176" customFormat="1" ht="15.75" hidden="1" x14ac:dyDescent="0.25">
      <c r="A81" s="184">
        <v>3</v>
      </c>
      <c r="B81" s="196" t="s">
        <v>315</v>
      </c>
      <c r="C81" s="186">
        <f t="shared" ref="C81:C91" si="10">D81+E81</f>
        <v>2472.5160000000001</v>
      </c>
      <c r="D81" s="186"/>
      <c r="E81" s="186">
        <f>2478.516-6</f>
        <v>2472.5160000000001</v>
      </c>
      <c r="F81" s="186">
        <f t="shared" si="7"/>
        <v>2471.5160000000001</v>
      </c>
      <c r="G81" s="186"/>
      <c r="H81" s="186">
        <v>2471.5160000000001</v>
      </c>
      <c r="I81" s="186"/>
      <c r="J81" s="186"/>
      <c r="K81" s="186">
        <f t="shared" ref="K81:K91" si="11">L81+M81</f>
        <v>0</v>
      </c>
      <c r="L81" s="194"/>
      <c r="M81" s="194"/>
      <c r="N81" s="187">
        <v>0</v>
      </c>
      <c r="O81" s="188">
        <f t="shared" ref="O81:O91" si="12">F81/C81*100</f>
        <v>99.959555367892463</v>
      </c>
      <c r="P81" s="189"/>
      <c r="Q81" s="195"/>
    </row>
    <row r="82" spans="1:17" s="176" customFormat="1" ht="15.75" hidden="1" x14ac:dyDescent="0.25">
      <c r="A82" s="184">
        <v>4</v>
      </c>
      <c r="B82" s="196" t="s">
        <v>316</v>
      </c>
      <c r="C82" s="186">
        <f t="shared" si="10"/>
        <v>10388.6415</v>
      </c>
      <c r="D82" s="186"/>
      <c r="E82" s="186">
        <f>10406.6415-18</f>
        <v>10388.6415</v>
      </c>
      <c r="F82" s="186">
        <f t="shared" si="7"/>
        <v>10303.298500000001</v>
      </c>
      <c r="G82" s="186"/>
      <c r="H82" s="186">
        <v>10303.298500000001</v>
      </c>
      <c r="I82" s="186"/>
      <c r="J82" s="186"/>
      <c r="K82" s="186">
        <f t="shared" si="11"/>
        <v>0</v>
      </c>
      <c r="L82" s="194"/>
      <c r="M82" s="194"/>
      <c r="N82" s="187">
        <v>0</v>
      </c>
      <c r="O82" s="188">
        <f t="shared" si="12"/>
        <v>99.17849701522573</v>
      </c>
      <c r="P82" s="189"/>
      <c r="Q82" s="195"/>
    </row>
    <row r="83" spans="1:17" s="176" customFormat="1" ht="15.75" hidden="1" x14ac:dyDescent="0.25">
      <c r="A83" s="184">
        <v>5</v>
      </c>
      <c r="B83" s="196" t="s">
        <v>317</v>
      </c>
      <c r="C83" s="186">
        <f t="shared" si="10"/>
        <v>3824.1534999999999</v>
      </c>
      <c r="D83" s="186"/>
      <c r="E83" s="186">
        <f>3833.1535-9</f>
        <v>3824.1534999999999</v>
      </c>
      <c r="F83" s="186">
        <f t="shared" si="7"/>
        <v>3824.1534999999999</v>
      </c>
      <c r="G83" s="186"/>
      <c r="H83" s="186">
        <v>3824.1534999999999</v>
      </c>
      <c r="I83" s="186"/>
      <c r="J83" s="186"/>
      <c r="K83" s="186">
        <f t="shared" si="11"/>
        <v>0</v>
      </c>
      <c r="L83" s="194"/>
      <c r="M83" s="194"/>
      <c r="N83" s="187">
        <v>0</v>
      </c>
      <c r="O83" s="188">
        <f t="shared" si="12"/>
        <v>100</v>
      </c>
      <c r="P83" s="189"/>
      <c r="Q83" s="195"/>
    </row>
    <row r="84" spans="1:17" s="176" customFormat="1" ht="15.75" hidden="1" x14ac:dyDescent="0.25">
      <c r="A84" s="184">
        <v>6</v>
      </c>
      <c r="B84" s="196" t="s">
        <v>318</v>
      </c>
      <c r="C84" s="186">
        <f t="shared" si="10"/>
        <v>6691.3990000000003</v>
      </c>
      <c r="D84" s="186"/>
      <c r="E84" s="186">
        <f>6703.399-12</f>
        <v>6691.3990000000003</v>
      </c>
      <c r="F84" s="186">
        <f t="shared" si="7"/>
        <v>6691.3990000000003</v>
      </c>
      <c r="G84" s="186"/>
      <c r="H84" s="186">
        <v>6691.3990000000003</v>
      </c>
      <c r="I84" s="186"/>
      <c r="J84" s="186"/>
      <c r="K84" s="186">
        <f t="shared" si="11"/>
        <v>0</v>
      </c>
      <c r="L84" s="194"/>
      <c r="M84" s="194"/>
      <c r="N84" s="187">
        <v>0</v>
      </c>
      <c r="O84" s="188">
        <f t="shared" si="12"/>
        <v>100</v>
      </c>
      <c r="P84" s="189"/>
      <c r="Q84" s="195"/>
    </row>
    <row r="85" spans="1:17" s="176" customFormat="1" ht="15.75" hidden="1" x14ac:dyDescent="0.25">
      <c r="A85" s="184">
        <v>7</v>
      </c>
      <c r="B85" s="196" t="s">
        <v>319</v>
      </c>
      <c r="C85" s="186">
        <f t="shared" si="10"/>
        <v>2822.7269999999999</v>
      </c>
      <c r="D85" s="186"/>
      <c r="E85" s="186">
        <f>2829.727-7</f>
        <v>2822.7269999999999</v>
      </c>
      <c r="F85" s="186">
        <f t="shared" si="7"/>
        <v>2822.7269999999999</v>
      </c>
      <c r="G85" s="186"/>
      <c r="H85" s="186">
        <v>2822.7269999999999</v>
      </c>
      <c r="I85" s="186"/>
      <c r="J85" s="186"/>
      <c r="K85" s="186">
        <f t="shared" si="11"/>
        <v>0</v>
      </c>
      <c r="L85" s="194"/>
      <c r="M85" s="194"/>
      <c r="N85" s="187">
        <v>0</v>
      </c>
      <c r="O85" s="188">
        <f t="shared" si="12"/>
        <v>100</v>
      </c>
      <c r="P85" s="189"/>
      <c r="Q85" s="195"/>
    </row>
    <row r="86" spans="1:17" s="176" customFormat="1" ht="15.75" hidden="1" x14ac:dyDescent="0.25">
      <c r="A86" s="184">
        <v>8</v>
      </c>
      <c r="B86" s="196" t="s">
        <v>320</v>
      </c>
      <c r="C86" s="186">
        <f t="shared" si="10"/>
        <v>9724.4889999999996</v>
      </c>
      <c r="D86" s="186"/>
      <c r="E86" s="186">
        <f>9739.489-15</f>
        <v>9724.4889999999996</v>
      </c>
      <c r="F86" s="186">
        <f t="shared" si="7"/>
        <v>9721.9889999999996</v>
      </c>
      <c r="G86" s="186"/>
      <c r="H86" s="186">
        <v>9721.9889999999996</v>
      </c>
      <c r="I86" s="186"/>
      <c r="J86" s="186"/>
      <c r="K86" s="186">
        <f t="shared" si="11"/>
        <v>0</v>
      </c>
      <c r="L86" s="194"/>
      <c r="M86" s="194"/>
      <c r="N86" s="187">
        <v>0</v>
      </c>
      <c r="O86" s="188">
        <f t="shared" si="12"/>
        <v>99.974291708284099</v>
      </c>
      <c r="P86" s="189"/>
      <c r="Q86" s="195"/>
    </row>
    <row r="87" spans="1:17" s="176" customFormat="1" ht="15.75" hidden="1" x14ac:dyDescent="0.25">
      <c r="A87" s="184">
        <v>9</v>
      </c>
      <c r="B87" s="196" t="s">
        <v>308</v>
      </c>
      <c r="C87" s="186">
        <f t="shared" si="10"/>
        <v>6048.692500000001</v>
      </c>
      <c r="D87" s="186"/>
      <c r="E87" s="186">
        <f>44.1085+4916.354+1098.23-10</f>
        <v>6048.692500000001</v>
      </c>
      <c r="F87" s="186">
        <f t="shared" si="7"/>
        <v>6048.692500000001</v>
      </c>
      <c r="G87" s="186"/>
      <c r="H87" s="186">
        <f>44.1085+4906.354+1098.23</f>
        <v>6048.692500000001</v>
      </c>
      <c r="I87" s="186"/>
      <c r="J87" s="186"/>
      <c r="K87" s="186">
        <f t="shared" si="11"/>
        <v>0</v>
      </c>
      <c r="L87" s="194"/>
      <c r="M87" s="194"/>
      <c r="N87" s="187">
        <v>0</v>
      </c>
      <c r="O87" s="188">
        <f t="shared" si="12"/>
        <v>100</v>
      </c>
      <c r="P87" s="189"/>
      <c r="Q87" s="195"/>
    </row>
    <row r="88" spans="1:17" s="176" customFormat="1" ht="15.75" hidden="1" x14ac:dyDescent="0.25">
      <c r="A88" s="184">
        <v>10</v>
      </c>
      <c r="B88" s="196" t="s">
        <v>309</v>
      </c>
      <c r="C88" s="186">
        <f t="shared" si="10"/>
        <v>2822.9943450000001</v>
      </c>
      <c r="D88" s="186"/>
      <c r="E88" s="186">
        <f>24.89+2791.604345+10.5-4</f>
        <v>2822.9943450000001</v>
      </c>
      <c r="F88" s="186">
        <f t="shared" si="7"/>
        <v>2822.9943450000001</v>
      </c>
      <c r="G88" s="186"/>
      <c r="H88" s="186">
        <f>24.89+2787.604345+10.5</f>
        <v>2822.9943450000001</v>
      </c>
      <c r="I88" s="186"/>
      <c r="J88" s="186"/>
      <c r="K88" s="186">
        <f t="shared" si="11"/>
        <v>0</v>
      </c>
      <c r="L88" s="194"/>
      <c r="M88" s="194"/>
      <c r="N88" s="187">
        <v>0</v>
      </c>
      <c r="O88" s="188">
        <f t="shared" si="12"/>
        <v>100</v>
      </c>
      <c r="P88" s="189"/>
      <c r="Q88" s="195"/>
    </row>
    <row r="89" spans="1:17" s="176" customFormat="1" ht="15.75" hidden="1" x14ac:dyDescent="0.25">
      <c r="A89" s="184">
        <v>11</v>
      </c>
      <c r="B89" s="196" t="s">
        <v>310</v>
      </c>
      <c r="C89" s="186">
        <f t="shared" si="10"/>
        <v>5497.3344999999999</v>
      </c>
      <c r="D89" s="186"/>
      <c r="E89" s="186">
        <f>71.7725+4738.701+695.861-9</f>
        <v>5497.3344999999999</v>
      </c>
      <c r="F89" s="186">
        <f t="shared" si="7"/>
        <v>5480.1994999999997</v>
      </c>
      <c r="G89" s="186"/>
      <c r="H89" s="186">
        <f>71.7725+4729.701+678.726</f>
        <v>5480.1994999999997</v>
      </c>
      <c r="I89" s="186"/>
      <c r="J89" s="186"/>
      <c r="K89" s="186">
        <f t="shared" si="11"/>
        <v>0</v>
      </c>
      <c r="L89" s="194"/>
      <c r="M89" s="194"/>
      <c r="N89" s="187">
        <v>0</v>
      </c>
      <c r="O89" s="188">
        <f t="shared" si="12"/>
        <v>99.688303485989437</v>
      </c>
      <c r="P89" s="189"/>
      <c r="Q89" s="195"/>
    </row>
    <row r="90" spans="1:17" s="176" customFormat="1" ht="15.75" hidden="1" x14ac:dyDescent="0.25">
      <c r="A90" s="184">
        <v>12</v>
      </c>
      <c r="B90" s="196" t="s">
        <v>311</v>
      </c>
      <c r="C90" s="186">
        <f t="shared" si="10"/>
        <v>2763.3354119999999</v>
      </c>
      <c r="D90" s="186"/>
      <c r="E90" s="186">
        <f>15.884+2756.451412-9</f>
        <v>2763.3354119999999</v>
      </c>
      <c r="F90" s="186">
        <f t="shared" si="7"/>
        <v>2763.3354119999999</v>
      </c>
      <c r="G90" s="186"/>
      <c r="H90" s="186">
        <f>15.884+2747.451412</f>
        <v>2763.3354119999999</v>
      </c>
      <c r="I90" s="186"/>
      <c r="J90" s="186"/>
      <c r="K90" s="186">
        <f t="shared" si="11"/>
        <v>0</v>
      </c>
      <c r="L90" s="194"/>
      <c r="M90" s="194"/>
      <c r="N90" s="187">
        <v>0</v>
      </c>
      <c r="O90" s="188">
        <f t="shared" si="12"/>
        <v>100</v>
      </c>
      <c r="P90" s="189"/>
      <c r="Q90" s="195"/>
    </row>
    <row r="91" spans="1:17" s="176" customFormat="1" ht="15.75" hidden="1" x14ac:dyDescent="0.25">
      <c r="A91" s="184">
        <v>13</v>
      </c>
      <c r="B91" s="196" t="s">
        <v>312</v>
      </c>
      <c r="C91" s="186">
        <f t="shared" si="10"/>
        <v>6332.9530000000004</v>
      </c>
      <c r="D91" s="186"/>
      <c r="E91" s="186">
        <f>55.898+4749.599+1532.456-5</f>
        <v>6332.9530000000004</v>
      </c>
      <c r="F91" s="186">
        <f t="shared" si="7"/>
        <v>6196.3521570000003</v>
      </c>
      <c r="G91" s="186"/>
      <c r="H91" s="186">
        <f>55.898+4608.498157+1531.956</f>
        <v>6196.3521570000003</v>
      </c>
      <c r="I91" s="186"/>
      <c r="J91" s="186"/>
      <c r="K91" s="186">
        <f t="shared" si="11"/>
        <v>0</v>
      </c>
      <c r="L91" s="194"/>
      <c r="M91" s="194"/>
      <c r="N91" s="187">
        <v>0</v>
      </c>
      <c r="O91" s="188">
        <f t="shared" si="12"/>
        <v>97.843015051588097</v>
      </c>
      <c r="P91" s="189"/>
      <c r="Q91" s="195"/>
    </row>
    <row r="92" spans="1:17" s="176" customFormat="1" ht="15.75" x14ac:dyDescent="0.25">
      <c r="A92" s="197" t="s">
        <v>9</v>
      </c>
      <c r="B92" s="198" t="s">
        <v>182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4"/>
      <c r="O92" s="194"/>
      <c r="P92" s="189"/>
      <c r="Q92" s="197"/>
    </row>
    <row r="93" spans="1:17" s="176" customFormat="1" ht="31.5" x14ac:dyDescent="0.25">
      <c r="A93" s="197" t="s">
        <v>12</v>
      </c>
      <c r="B93" s="198" t="s">
        <v>183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4"/>
      <c r="O93" s="194"/>
      <c r="P93" s="189"/>
      <c r="Q93" s="197"/>
    </row>
    <row r="94" spans="1:17" s="176" customFormat="1" ht="31.5" x14ac:dyDescent="0.25">
      <c r="A94" s="197" t="s">
        <v>14</v>
      </c>
      <c r="B94" s="198" t="s">
        <v>184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4"/>
      <c r="O94" s="194"/>
      <c r="P94" s="189"/>
      <c r="Q94" s="197"/>
    </row>
    <row r="95" spans="1:17" s="176" customFormat="1" ht="31.5" x14ac:dyDescent="0.25">
      <c r="A95" s="200" t="s">
        <v>185</v>
      </c>
      <c r="B95" s="201" t="s">
        <v>186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203"/>
      <c r="P95" s="204"/>
      <c r="Q95" s="200"/>
    </row>
    <row r="96" spans="1:17" s="176" customFormat="1" ht="15.75" x14ac:dyDescent="0.25"/>
    <row r="97" spans="12:16" s="176" customFormat="1" ht="18.75" x14ac:dyDescent="0.3">
      <c r="L97" s="230"/>
      <c r="M97" s="230"/>
      <c r="N97" s="230"/>
      <c r="O97" s="230"/>
      <c r="P97" s="230"/>
    </row>
    <row r="98" spans="12:16" s="176" customFormat="1" ht="15.75" x14ac:dyDescent="0.25"/>
    <row r="99" spans="12:16" s="176" customFormat="1" ht="15.75" x14ac:dyDescent="0.25"/>
    <row r="100" spans="12:16" s="176" customFormat="1" ht="15.75" x14ac:dyDescent="0.25"/>
    <row r="101" spans="12:16" s="176" customFormat="1" ht="15.75" x14ac:dyDescent="0.25"/>
    <row r="102" spans="12:16" s="176" customFormat="1" ht="15.75" x14ac:dyDescent="0.25"/>
    <row r="103" spans="12:16" s="176" customFormat="1" ht="15.75" x14ac:dyDescent="0.25"/>
    <row r="104" spans="12:16" s="176" customFormat="1" ht="15.75" x14ac:dyDescent="0.25"/>
    <row r="105" spans="12:16" s="176" customFormat="1" ht="15.75" x14ac:dyDescent="0.25"/>
    <row r="106" spans="12:16" s="176" customFormat="1" ht="15.75" x14ac:dyDescent="0.25"/>
    <row r="107" spans="12:16" s="176" customFormat="1" ht="15.75" x14ac:dyDescent="0.25"/>
    <row r="108" spans="12:16" s="176" customFormat="1" ht="15.75" x14ac:dyDescent="0.25"/>
    <row r="109" spans="12:16" s="176" customFormat="1" ht="15.75" x14ac:dyDescent="0.25"/>
    <row r="110" spans="12:16" s="176" customFormat="1" ht="15.75" x14ac:dyDescent="0.25"/>
    <row r="111" spans="12:16" s="176" customFormat="1" ht="15.75" x14ac:dyDescent="0.25"/>
    <row r="112" spans="12:16" s="176" customFormat="1" ht="15.75" x14ac:dyDescent="0.25"/>
    <row r="113" s="176" customFormat="1" ht="15.75" x14ac:dyDescent="0.25"/>
    <row r="114" s="176" customFormat="1" ht="15.75" x14ac:dyDescent="0.25"/>
    <row r="115" s="176" customFormat="1" ht="15.75" x14ac:dyDescent="0.25"/>
    <row r="116" s="176" customFormat="1" ht="15.75" x14ac:dyDescent="0.25"/>
    <row r="117" s="176" customFormat="1" ht="15.75" x14ac:dyDescent="0.25"/>
    <row r="118" s="176" customFormat="1" ht="15.75" x14ac:dyDescent="0.25"/>
    <row r="119" s="176" customFormat="1" ht="15.75" x14ac:dyDescent="0.25"/>
    <row r="120" s="176" customFormat="1" ht="15.75" x14ac:dyDescent="0.25"/>
    <row r="121" s="176" customFormat="1" ht="15.75" x14ac:dyDescent="0.25"/>
    <row r="122" s="176" customFormat="1" ht="15.75" x14ac:dyDescent="0.25"/>
  </sheetData>
  <mergeCells count="28">
    <mergeCell ref="L97:P97"/>
    <mergeCell ref="A8:Q8"/>
    <mergeCell ref="L4:M4"/>
    <mergeCell ref="N4:Q4"/>
    <mergeCell ref="P5:Q5"/>
    <mergeCell ref="H11:H12"/>
    <mergeCell ref="I11:I12"/>
    <mergeCell ref="J11:J12"/>
    <mergeCell ref="K11:M11"/>
    <mergeCell ref="N11:N12"/>
    <mergeCell ref="O11:O12"/>
    <mergeCell ref="A10:A12"/>
    <mergeCell ref="B10:B12"/>
    <mergeCell ref="C10:E10"/>
    <mergeCell ref="F10:N10"/>
    <mergeCell ref="O10:Q10"/>
    <mergeCell ref="P11:P12"/>
    <mergeCell ref="Q11:Q12"/>
    <mergeCell ref="L1:M1"/>
    <mergeCell ref="O1:Q1"/>
    <mergeCell ref="O2:Q2"/>
    <mergeCell ref="A7:Q7"/>
    <mergeCell ref="N9:Q9"/>
    <mergeCell ref="C11:C12"/>
    <mergeCell ref="D11:D12"/>
    <mergeCell ref="E11:E12"/>
    <mergeCell ref="F11:F12"/>
    <mergeCell ref="G11:G12"/>
  </mergeCells>
  <pageMargins left="0.56999999999999995" right="0.25" top="0.54" bottom="0.76" header="0.3" footer="0.66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topLeftCell="E4" zoomScaleSheetLayoutView="100" workbookViewId="0">
      <selection activeCell="D14" sqref="D14"/>
    </sheetView>
  </sheetViews>
  <sheetFormatPr defaultColWidth="10.42578125" defaultRowHeight="16.5" x14ac:dyDescent="0.25"/>
  <cols>
    <col min="1" max="1" width="6.5703125" style="74" customWidth="1"/>
    <col min="2" max="2" width="25.28515625" style="74" customWidth="1"/>
    <col min="3" max="4" width="11.140625" style="74" customWidth="1"/>
    <col min="5" max="5" width="11.5703125" style="74" customWidth="1"/>
    <col min="6" max="6" width="9.140625" style="74" customWidth="1"/>
    <col min="7" max="7" width="11.7109375" style="74" customWidth="1"/>
    <col min="8" max="8" width="7.28515625" style="74" customWidth="1"/>
    <col min="9" max="9" width="11.28515625" style="74" customWidth="1"/>
    <col min="10" max="11" width="11.28515625" style="74" bestFit="1" customWidth="1"/>
    <col min="12" max="12" width="9" style="74" customWidth="1"/>
    <col min="13" max="13" width="11.28515625" style="74" bestFit="1" customWidth="1"/>
    <col min="14" max="17" width="10.42578125" style="74"/>
    <col min="18" max="18" width="9" style="74" customWidth="1"/>
    <col min="19" max="19" width="9.85546875" style="74" customWidth="1"/>
    <col min="20" max="20" width="9.42578125" style="74" customWidth="1"/>
    <col min="21" max="256" width="10.42578125" style="74"/>
    <col min="257" max="257" width="6.5703125" style="74" customWidth="1"/>
    <col min="258" max="258" width="29.7109375" style="74" customWidth="1"/>
    <col min="259" max="260" width="11.140625" style="74" customWidth="1"/>
    <col min="261" max="262" width="10.42578125" style="74" customWidth="1"/>
    <col min="263" max="264" width="10.28515625" style="74" customWidth="1"/>
    <col min="265" max="512" width="10.42578125" style="74"/>
    <col min="513" max="513" width="6.5703125" style="74" customWidth="1"/>
    <col min="514" max="514" width="29.7109375" style="74" customWidth="1"/>
    <col min="515" max="516" width="11.140625" style="74" customWidth="1"/>
    <col min="517" max="518" width="10.42578125" style="74" customWidth="1"/>
    <col min="519" max="520" width="10.28515625" style="74" customWidth="1"/>
    <col min="521" max="768" width="10.42578125" style="74"/>
    <col min="769" max="769" width="6.5703125" style="74" customWidth="1"/>
    <col min="770" max="770" width="29.7109375" style="74" customWidth="1"/>
    <col min="771" max="772" width="11.140625" style="74" customWidth="1"/>
    <col min="773" max="774" width="10.42578125" style="74" customWidth="1"/>
    <col min="775" max="776" width="10.28515625" style="74" customWidth="1"/>
    <col min="777" max="1024" width="10.42578125" style="74"/>
    <col min="1025" max="1025" width="6.5703125" style="74" customWidth="1"/>
    <col min="1026" max="1026" width="29.7109375" style="74" customWidth="1"/>
    <col min="1027" max="1028" width="11.140625" style="74" customWidth="1"/>
    <col min="1029" max="1030" width="10.42578125" style="74" customWidth="1"/>
    <col min="1031" max="1032" width="10.28515625" style="74" customWidth="1"/>
    <col min="1033" max="1280" width="10.42578125" style="74"/>
    <col min="1281" max="1281" width="6.5703125" style="74" customWidth="1"/>
    <col min="1282" max="1282" width="29.7109375" style="74" customWidth="1"/>
    <col min="1283" max="1284" width="11.140625" style="74" customWidth="1"/>
    <col min="1285" max="1286" width="10.42578125" style="74" customWidth="1"/>
    <col min="1287" max="1288" width="10.28515625" style="74" customWidth="1"/>
    <col min="1289" max="1536" width="10.42578125" style="74"/>
    <col min="1537" max="1537" width="6.5703125" style="74" customWidth="1"/>
    <col min="1538" max="1538" width="29.7109375" style="74" customWidth="1"/>
    <col min="1539" max="1540" width="11.140625" style="74" customWidth="1"/>
    <col min="1541" max="1542" width="10.42578125" style="74" customWidth="1"/>
    <col min="1543" max="1544" width="10.28515625" style="74" customWidth="1"/>
    <col min="1545" max="1792" width="10.42578125" style="74"/>
    <col min="1793" max="1793" width="6.5703125" style="74" customWidth="1"/>
    <col min="1794" max="1794" width="29.7109375" style="74" customWidth="1"/>
    <col min="1795" max="1796" width="11.140625" style="74" customWidth="1"/>
    <col min="1797" max="1798" width="10.42578125" style="74" customWidth="1"/>
    <col min="1799" max="1800" width="10.28515625" style="74" customWidth="1"/>
    <col min="1801" max="2048" width="10.42578125" style="74"/>
    <col min="2049" max="2049" width="6.5703125" style="74" customWidth="1"/>
    <col min="2050" max="2050" width="29.7109375" style="74" customWidth="1"/>
    <col min="2051" max="2052" width="11.140625" style="74" customWidth="1"/>
    <col min="2053" max="2054" width="10.42578125" style="74" customWidth="1"/>
    <col min="2055" max="2056" width="10.28515625" style="74" customWidth="1"/>
    <col min="2057" max="2304" width="10.42578125" style="74"/>
    <col min="2305" max="2305" width="6.5703125" style="74" customWidth="1"/>
    <col min="2306" max="2306" width="29.7109375" style="74" customWidth="1"/>
    <col min="2307" max="2308" width="11.140625" style="74" customWidth="1"/>
    <col min="2309" max="2310" width="10.42578125" style="74" customWidth="1"/>
    <col min="2311" max="2312" width="10.28515625" style="74" customWidth="1"/>
    <col min="2313" max="2560" width="10.42578125" style="74"/>
    <col min="2561" max="2561" width="6.5703125" style="74" customWidth="1"/>
    <col min="2562" max="2562" width="29.7109375" style="74" customWidth="1"/>
    <col min="2563" max="2564" width="11.140625" style="74" customWidth="1"/>
    <col min="2565" max="2566" width="10.42578125" style="74" customWidth="1"/>
    <col min="2567" max="2568" width="10.28515625" style="74" customWidth="1"/>
    <col min="2569" max="2816" width="10.42578125" style="74"/>
    <col min="2817" max="2817" width="6.5703125" style="74" customWidth="1"/>
    <col min="2818" max="2818" width="29.7109375" style="74" customWidth="1"/>
    <col min="2819" max="2820" width="11.140625" style="74" customWidth="1"/>
    <col min="2821" max="2822" width="10.42578125" style="74" customWidth="1"/>
    <col min="2823" max="2824" width="10.28515625" style="74" customWidth="1"/>
    <col min="2825" max="3072" width="10.42578125" style="74"/>
    <col min="3073" max="3073" width="6.5703125" style="74" customWidth="1"/>
    <col min="3074" max="3074" width="29.7109375" style="74" customWidth="1"/>
    <col min="3075" max="3076" width="11.140625" style="74" customWidth="1"/>
    <col min="3077" max="3078" width="10.42578125" style="74" customWidth="1"/>
    <col min="3079" max="3080" width="10.28515625" style="74" customWidth="1"/>
    <col min="3081" max="3328" width="10.42578125" style="74"/>
    <col min="3329" max="3329" width="6.5703125" style="74" customWidth="1"/>
    <col min="3330" max="3330" width="29.7109375" style="74" customWidth="1"/>
    <col min="3331" max="3332" width="11.140625" style="74" customWidth="1"/>
    <col min="3333" max="3334" width="10.42578125" style="74" customWidth="1"/>
    <col min="3335" max="3336" width="10.28515625" style="74" customWidth="1"/>
    <col min="3337" max="3584" width="10.42578125" style="74"/>
    <col min="3585" max="3585" width="6.5703125" style="74" customWidth="1"/>
    <col min="3586" max="3586" width="29.7109375" style="74" customWidth="1"/>
    <col min="3587" max="3588" width="11.140625" style="74" customWidth="1"/>
    <col min="3589" max="3590" width="10.42578125" style="74" customWidth="1"/>
    <col min="3591" max="3592" width="10.28515625" style="74" customWidth="1"/>
    <col min="3593" max="3840" width="10.42578125" style="74"/>
    <col min="3841" max="3841" width="6.5703125" style="74" customWidth="1"/>
    <col min="3842" max="3842" width="29.7109375" style="74" customWidth="1"/>
    <col min="3843" max="3844" width="11.140625" style="74" customWidth="1"/>
    <col min="3845" max="3846" width="10.42578125" style="74" customWidth="1"/>
    <col min="3847" max="3848" width="10.28515625" style="74" customWidth="1"/>
    <col min="3849" max="4096" width="10.42578125" style="74"/>
    <col min="4097" max="4097" width="6.5703125" style="74" customWidth="1"/>
    <col min="4098" max="4098" width="29.7109375" style="74" customWidth="1"/>
    <col min="4099" max="4100" width="11.140625" style="74" customWidth="1"/>
    <col min="4101" max="4102" width="10.42578125" style="74" customWidth="1"/>
    <col min="4103" max="4104" width="10.28515625" style="74" customWidth="1"/>
    <col min="4105" max="4352" width="10.42578125" style="74"/>
    <col min="4353" max="4353" width="6.5703125" style="74" customWidth="1"/>
    <col min="4354" max="4354" width="29.7109375" style="74" customWidth="1"/>
    <col min="4355" max="4356" width="11.140625" style="74" customWidth="1"/>
    <col min="4357" max="4358" width="10.42578125" style="74" customWidth="1"/>
    <col min="4359" max="4360" width="10.28515625" style="74" customWidth="1"/>
    <col min="4361" max="4608" width="10.42578125" style="74"/>
    <col min="4609" max="4609" width="6.5703125" style="74" customWidth="1"/>
    <col min="4610" max="4610" width="29.7109375" style="74" customWidth="1"/>
    <col min="4611" max="4612" width="11.140625" style="74" customWidth="1"/>
    <col min="4613" max="4614" width="10.42578125" style="74" customWidth="1"/>
    <col min="4615" max="4616" width="10.28515625" style="74" customWidth="1"/>
    <col min="4617" max="4864" width="10.42578125" style="74"/>
    <col min="4865" max="4865" width="6.5703125" style="74" customWidth="1"/>
    <col min="4866" max="4866" width="29.7109375" style="74" customWidth="1"/>
    <col min="4867" max="4868" width="11.140625" style="74" customWidth="1"/>
    <col min="4869" max="4870" width="10.42578125" style="74" customWidth="1"/>
    <col min="4871" max="4872" width="10.28515625" style="74" customWidth="1"/>
    <col min="4873" max="5120" width="10.42578125" style="74"/>
    <col min="5121" max="5121" width="6.5703125" style="74" customWidth="1"/>
    <col min="5122" max="5122" width="29.7109375" style="74" customWidth="1"/>
    <col min="5123" max="5124" width="11.140625" style="74" customWidth="1"/>
    <col min="5125" max="5126" width="10.42578125" style="74" customWidth="1"/>
    <col min="5127" max="5128" width="10.28515625" style="74" customWidth="1"/>
    <col min="5129" max="5376" width="10.42578125" style="74"/>
    <col min="5377" max="5377" width="6.5703125" style="74" customWidth="1"/>
    <col min="5378" max="5378" width="29.7109375" style="74" customWidth="1"/>
    <col min="5379" max="5380" width="11.140625" style="74" customWidth="1"/>
    <col min="5381" max="5382" width="10.42578125" style="74" customWidth="1"/>
    <col min="5383" max="5384" width="10.28515625" style="74" customWidth="1"/>
    <col min="5385" max="5632" width="10.42578125" style="74"/>
    <col min="5633" max="5633" width="6.5703125" style="74" customWidth="1"/>
    <col min="5634" max="5634" width="29.7109375" style="74" customWidth="1"/>
    <col min="5635" max="5636" width="11.140625" style="74" customWidth="1"/>
    <col min="5637" max="5638" width="10.42578125" style="74" customWidth="1"/>
    <col min="5639" max="5640" width="10.28515625" style="74" customWidth="1"/>
    <col min="5641" max="5888" width="10.42578125" style="74"/>
    <col min="5889" max="5889" width="6.5703125" style="74" customWidth="1"/>
    <col min="5890" max="5890" width="29.7109375" style="74" customWidth="1"/>
    <col min="5891" max="5892" width="11.140625" style="74" customWidth="1"/>
    <col min="5893" max="5894" width="10.42578125" style="74" customWidth="1"/>
    <col min="5895" max="5896" width="10.28515625" style="74" customWidth="1"/>
    <col min="5897" max="6144" width="10.42578125" style="74"/>
    <col min="6145" max="6145" width="6.5703125" style="74" customWidth="1"/>
    <col min="6146" max="6146" width="29.7109375" style="74" customWidth="1"/>
    <col min="6147" max="6148" width="11.140625" style="74" customWidth="1"/>
    <col min="6149" max="6150" width="10.42578125" style="74" customWidth="1"/>
    <col min="6151" max="6152" width="10.28515625" style="74" customWidth="1"/>
    <col min="6153" max="6400" width="10.42578125" style="74"/>
    <col min="6401" max="6401" width="6.5703125" style="74" customWidth="1"/>
    <col min="6402" max="6402" width="29.7109375" style="74" customWidth="1"/>
    <col min="6403" max="6404" width="11.140625" style="74" customWidth="1"/>
    <col min="6405" max="6406" width="10.42578125" style="74" customWidth="1"/>
    <col min="6407" max="6408" width="10.28515625" style="74" customWidth="1"/>
    <col min="6409" max="6656" width="10.42578125" style="74"/>
    <col min="6657" max="6657" width="6.5703125" style="74" customWidth="1"/>
    <col min="6658" max="6658" width="29.7109375" style="74" customWidth="1"/>
    <col min="6659" max="6660" width="11.140625" style="74" customWidth="1"/>
    <col min="6661" max="6662" width="10.42578125" style="74" customWidth="1"/>
    <col min="6663" max="6664" width="10.28515625" style="74" customWidth="1"/>
    <col min="6665" max="6912" width="10.42578125" style="74"/>
    <col min="6913" max="6913" width="6.5703125" style="74" customWidth="1"/>
    <col min="6914" max="6914" width="29.7109375" style="74" customWidth="1"/>
    <col min="6915" max="6916" width="11.140625" style="74" customWidth="1"/>
    <col min="6917" max="6918" width="10.42578125" style="74" customWidth="1"/>
    <col min="6919" max="6920" width="10.28515625" style="74" customWidth="1"/>
    <col min="6921" max="7168" width="10.42578125" style="74"/>
    <col min="7169" max="7169" width="6.5703125" style="74" customWidth="1"/>
    <col min="7170" max="7170" width="29.7109375" style="74" customWidth="1"/>
    <col min="7171" max="7172" width="11.140625" style="74" customWidth="1"/>
    <col min="7173" max="7174" width="10.42578125" style="74" customWidth="1"/>
    <col min="7175" max="7176" width="10.28515625" style="74" customWidth="1"/>
    <col min="7177" max="7424" width="10.42578125" style="74"/>
    <col min="7425" max="7425" width="6.5703125" style="74" customWidth="1"/>
    <col min="7426" max="7426" width="29.7109375" style="74" customWidth="1"/>
    <col min="7427" max="7428" width="11.140625" style="74" customWidth="1"/>
    <col min="7429" max="7430" width="10.42578125" style="74" customWidth="1"/>
    <col min="7431" max="7432" width="10.28515625" style="74" customWidth="1"/>
    <col min="7433" max="7680" width="10.42578125" style="74"/>
    <col min="7681" max="7681" width="6.5703125" style="74" customWidth="1"/>
    <col min="7682" max="7682" width="29.7109375" style="74" customWidth="1"/>
    <col min="7683" max="7684" width="11.140625" style="74" customWidth="1"/>
    <col min="7685" max="7686" width="10.42578125" style="74" customWidth="1"/>
    <col min="7687" max="7688" width="10.28515625" style="74" customWidth="1"/>
    <col min="7689" max="7936" width="10.42578125" style="74"/>
    <col min="7937" max="7937" width="6.5703125" style="74" customWidth="1"/>
    <col min="7938" max="7938" width="29.7109375" style="74" customWidth="1"/>
    <col min="7939" max="7940" width="11.140625" style="74" customWidth="1"/>
    <col min="7941" max="7942" width="10.42578125" style="74" customWidth="1"/>
    <col min="7943" max="7944" width="10.28515625" style="74" customWidth="1"/>
    <col min="7945" max="8192" width="10.42578125" style="74"/>
    <col min="8193" max="8193" width="6.5703125" style="74" customWidth="1"/>
    <col min="8194" max="8194" width="29.7109375" style="74" customWidth="1"/>
    <col min="8195" max="8196" width="11.140625" style="74" customWidth="1"/>
    <col min="8197" max="8198" width="10.42578125" style="74" customWidth="1"/>
    <col min="8199" max="8200" width="10.28515625" style="74" customWidth="1"/>
    <col min="8201" max="8448" width="10.42578125" style="74"/>
    <col min="8449" max="8449" width="6.5703125" style="74" customWidth="1"/>
    <col min="8450" max="8450" width="29.7109375" style="74" customWidth="1"/>
    <col min="8451" max="8452" width="11.140625" style="74" customWidth="1"/>
    <col min="8453" max="8454" width="10.42578125" style="74" customWidth="1"/>
    <col min="8455" max="8456" width="10.28515625" style="74" customWidth="1"/>
    <col min="8457" max="8704" width="10.42578125" style="74"/>
    <col min="8705" max="8705" width="6.5703125" style="74" customWidth="1"/>
    <col min="8706" max="8706" width="29.7109375" style="74" customWidth="1"/>
    <col min="8707" max="8708" width="11.140625" style="74" customWidth="1"/>
    <col min="8709" max="8710" width="10.42578125" style="74" customWidth="1"/>
    <col min="8711" max="8712" width="10.28515625" style="74" customWidth="1"/>
    <col min="8713" max="8960" width="10.42578125" style="74"/>
    <col min="8961" max="8961" width="6.5703125" style="74" customWidth="1"/>
    <col min="8962" max="8962" width="29.7109375" style="74" customWidth="1"/>
    <col min="8963" max="8964" width="11.140625" style="74" customWidth="1"/>
    <col min="8965" max="8966" width="10.42578125" style="74" customWidth="1"/>
    <col min="8967" max="8968" width="10.28515625" style="74" customWidth="1"/>
    <col min="8969" max="9216" width="10.42578125" style="74"/>
    <col min="9217" max="9217" width="6.5703125" style="74" customWidth="1"/>
    <col min="9218" max="9218" width="29.7109375" style="74" customWidth="1"/>
    <col min="9219" max="9220" width="11.140625" style="74" customWidth="1"/>
    <col min="9221" max="9222" width="10.42578125" style="74" customWidth="1"/>
    <col min="9223" max="9224" width="10.28515625" style="74" customWidth="1"/>
    <col min="9225" max="9472" width="10.42578125" style="74"/>
    <col min="9473" max="9473" width="6.5703125" style="74" customWidth="1"/>
    <col min="9474" max="9474" width="29.7109375" style="74" customWidth="1"/>
    <col min="9475" max="9476" width="11.140625" style="74" customWidth="1"/>
    <col min="9477" max="9478" width="10.42578125" style="74" customWidth="1"/>
    <col min="9479" max="9480" width="10.28515625" style="74" customWidth="1"/>
    <col min="9481" max="9728" width="10.42578125" style="74"/>
    <col min="9729" max="9729" width="6.5703125" style="74" customWidth="1"/>
    <col min="9730" max="9730" width="29.7109375" style="74" customWidth="1"/>
    <col min="9731" max="9732" width="11.140625" style="74" customWidth="1"/>
    <col min="9733" max="9734" width="10.42578125" style="74" customWidth="1"/>
    <col min="9735" max="9736" width="10.28515625" style="74" customWidth="1"/>
    <col min="9737" max="9984" width="10.42578125" style="74"/>
    <col min="9985" max="9985" width="6.5703125" style="74" customWidth="1"/>
    <col min="9986" max="9986" width="29.7109375" style="74" customWidth="1"/>
    <col min="9987" max="9988" width="11.140625" style="74" customWidth="1"/>
    <col min="9989" max="9990" width="10.42578125" style="74" customWidth="1"/>
    <col min="9991" max="9992" width="10.28515625" style="74" customWidth="1"/>
    <col min="9993" max="10240" width="10.42578125" style="74"/>
    <col min="10241" max="10241" width="6.5703125" style="74" customWidth="1"/>
    <col min="10242" max="10242" width="29.7109375" style="74" customWidth="1"/>
    <col min="10243" max="10244" width="11.140625" style="74" customWidth="1"/>
    <col min="10245" max="10246" width="10.42578125" style="74" customWidth="1"/>
    <col min="10247" max="10248" width="10.28515625" style="74" customWidth="1"/>
    <col min="10249" max="10496" width="10.42578125" style="74"/>
    <col min="10497" max="10497" width="6.5703125" style="74" customWidth="1"/>
    <col min="10498" max="10498" width="29.7109375" style="74" customWidth="1"/>
    <col min="10499" max="10500" width="11.140625" style="74" customWidth="1"/>
    <col min="10501" max="10502" width="10.42578125" style="74" customWidth="1"/>
    <col min="10503" max="10504" width="10.28515625" style="74" customWidth="1"/>
    <col min="10505" max="10752" width="10.42578125" style="74"/>
    <col min="10753" max="10753" width="6.5703125" style="74" customWidth="1"/>
    <col min="10754" max="10754" width="29.7109375" style="74" customWidth="1"/>
    <col min="10755" max="10756" width="11.140625" style="74" customWidth="1"/>
    <col min="10757" max="10758" width="10.42578125" style="74" customWidth="1"/>
    <col min="10759" max="10760" width="10.28515625" style="74" customWidth="1"/>
    <col min="10761" max="11008" width="10.42578125" style="74"/>
    <col min="11009" max="11009" width="6.5703125" style="74" customWidth="1"/>
    <col min="11010" max="11010" width="29.7109375" style="74" customWidth="1"/>
    <col min="11011" max="11012" width="11.140625" style="74" customWidth="1"/>
    <col min="11013" max="11014" width="10.42578125" style="74" customWidth="1"/>
    <col min="11015" max="11016" width="10.28515625" style="74" customWidth="1"/>
    <col min="11017" max="11264" width="10.42578125" style="74"/>
    <col min="11265" max="11265" width="6.5703125" style="74" customWidth="1"/>
    <col min="11266" max="11266" width="29.7109375" style="74" customWidth="1"/>
    <col min="11267" max="11268" width="11.140625" style="74" customWidth="1"/>
    <col min="11269" max="11270" width="10.42578125" style="74" customWidth="1"/>
    <col min="11271" max="11272" width="10.28515625" style="74" customWidth="1"/>
    <col min="11273" max="11520" width="10.42578125" style="74"/>
    <col min="11521" max="11521" width="6.5703125" style="74" customWidth="1"/>
    <col min="11522" max="11522" width="29.7109375" style="74" customWidth="1"/>
    <col min="11523" max="11524" width="11.140625" style="74" customWidth="1"/>
    <col min="11525" max="11526" width="10.42578125" style="74" customWidth="1"/>
    <col min="11527" max="11528" width="10.28515625" style="74" customWidth="1"/>
    <col min="11529" max="11776" width="10.42578125" style="74"/>
    <col min="11777" max="11777" width="6.5703125" style="74" customWidth="1"/>
    <col min="11778" max="11778" width="29.7109375" style="74" customWidth="1"/>
    <col min="11779" max="11780" width="11.140625" style="74" customWidth="1"/>
    <col min="11781" max="11782" width="10.42578125" style="74" customWidth="1"/>
    <col min="11783" max="11784" width="10.28515625" style="74" customWidth="1"/>
    <col min="11785" max="12032" width="10.42578125" style="74"/>
    <col min="12033" max="12033" width="6.5703125" style="74" customWidth="1"/>
    <col min="12034" max="12034" width="29.7109375" style="74" customWidth="1"/>
    <col min="12035" max="12036" width="11.140625" style="74" customWidth="1"/>
    <col min="12037" max="12038" width="10.42578125" style="74" customWidth="1"/>
    <col min="12039" max="12040" width="10.28515625" style="74" customWidth="1"/>
    <col min="12041" max="12288" width="10.42578125" style="74"/>
    <col min="12289" max="12289" width="6.5703125" style="74" customWidth="1"/>
    <col min="12290" max="12290" width="29.7109375" style="74" customWidth="1"/>
    <col min="12291" max="12292" width="11.140625" style="74" customWidth="1"/>
    <col min="12293" max="12294" width="10.42578125" style="74" customWidth="1"/>
    <col min="12295" max="12296" width="10.28515625" style="74" customWidth="1"/>
    <col min="12297" max="12544" width="10.42578125" style="74"/>
    <col min="12545" max="12545" width="6.5703125" style="74" customWidth="1"/>
    <col min="12546" max="12546" width="29.7109375" style="74" customWidth="1"/>
    <col min="12547" max="12548" width="11.140625" style="74" customWidth="1"/>
    <col min="12549" max="12550" width="10.42578125" style="74" customWidth="1"/>
    <col min="12551" max="12552" width="10.28515625" style="74" customWidth="1"/>
    <col min="12553" max="12800" width="10.42578125" style="74"/>
    <col min="12801" max="12801" width="6.5703125" style="74" customWidth="1"/>
    <col min="12802" max="12802" width="29.7109375" style="74" customWidth="1"/>
    <col min="12803" max="12804" width="11.140625" style="74" customWidth="1"/>
    <col min="12805" max="12806" width="10.42578125" style="74" customWidth="1"/>
    <col min="12807" max="12808" width="10.28515625" style="74" customWidth="1"/>
    <col min="12809" max="13056" width="10.42578125" style="74"/>
    <col min="13057" max="13057" width="6.5703125" style="74" customWidth="1"/>
    <col min="13058" max="13058" width="29.7109375" style="74" customWidth="1"/>
    <col min="13059" max="13060" width="11.140625" style="74" customWidth="1"/>
    <col min="13061" max="13062" width="10.42578125" style="74" customWidth="1"/>
    <col min="13063" max="13064" width="10.28515625" style="74" customWidth="1"/>
    <col min="13065" max="13312" width="10.42578125" style="74"/>
    <col min="13313" max="13313" width="6.5703125" style="74" customWidth="1"/>
    <col min="13314" max="13314" width="29.7109375" style="74" customWidth="1"/>
    <col min="13315" max="13316" width="11.140625" style="74" customWidth="1"/>
    <col min="13317" max="13318" width="10.42578125" style="74" customWidth="1"/>
    <col min="13319" max="13320" width="10.28515625" style="74" customWidth="1"/>
    <col min="13321" max="13568" width="10.42578125" style="74"/>
    <col min="13569" max="13569" width="6.5703125" style="74" customWidth="1"/>
    <col min="13570" max="13570" width="29.7109375" style="74" customWidth="1"/>
    <col min="13571" max="13572" width="11.140625" style="74" customWidth="1"/>
    <col min="13573" max="13574" width="10.42578125" style="74" customWidth="1"/>
    <col min="13575" max="13576" width="10.28515625" style="74" customWidth="1"/>
    <col min="13577" max="13824" width="10.42578125" style="74"/>
    <col min="13825" max="13825" width="6.5703125" style="74" customWidth="1"/>
    <col min="13826" max="13826" width="29.7109375" style="74" customWidth="1"/>
    <col min="13827" max="13828" width="11.140625" style="74" customWidth="1"/>
    <col min="13829" max="13830" width="10.42578125" style="74" customWidth="1"/>
    <col min="13831" max="13832" width="10.28515625" style="74" customWidth="1"/>
    <col min="13833" max="14080" width="10.42578125" style="74"/>
    <col min="14081" max="14081" width="6.5703125" style="74" customWidth="1"/>
    <col min="14082" max="14082" width="29.7109375" style="74" customWidth="1"/>
    <col min="14083" max="14084" width="11.140625" style="74" customWidth="1"/>
    <col min="14085" max="14086" width="10.42578125" style="74" customWidth="1"/>
    <col min="14087" max="14088" width="10.28515625" style="74" customWidth="1"/>
    <col min="14089" max="14336" width="10.42578125" style="74"/>
    <col min="14337" max="14337" width="6.5703125" style="74" customWidth="1"/>
    <col min="14338" max="14338" width="29.7109375" style="74" customWidth="1"/>
    <col min="14339" max="14340" width="11.140625" style="74" customWidth="1"/>
    <col min="14341" max="14342" width="10.42578125" style="74" customWidth="1"/>
    <col min="14343" max="14344" width="10.28515625" style="74" customWidth="1"/>
    <col min="14345" max="14592" width="10.42578125" style="74"/>
    <col min="14593" max="14593" width="6.5703125" style="74" customWidth="1"/>
    <col min="14594" max="14594" width="29.7109375" style="74" customWidth="1"/>
    <col min="14595" max="14596" width="11.140625" style="74" customWidth="1"/>
    <col min="14597" max="14598" width="10.42578125" style="74" customWidth="1"/>
    <col min="14599" max="14600" width="10.28515625" style="74" customWidth="1"/>
    <col min="14601" max="14848" width="10.42578125" style="74"/>
    <col min="14849" max="14849" width="6.5703125" style="74" customWidth="1"/>
    <col min="14850" max="14850" width="29.7109375" style="74" customWidth="1"/>
    <col min="14851" max="14852" width="11.140625" style="74" customWidth="1"/>
    <col min="14853" max="14854" width="10.42578125" style="74" customWidth="1"/>
    <col min="14855" max="14856" width="10.28515625" style="74" customWidth="1"/>
    <col min="14857" max="15104" width="10.42578125" style="74"/>
    <col min="15105" max="15105" width="6.5703125" style="74" customWidth="1"/>
    <col min="15106" max="15106" width="29.7109375" style="74" customWidth="1"/>
    <col min="15107" max="15108" width="11.140625" style="74" customWidth="1"/>
    <col min="15109" max="15110" width="10.42578125" style="74" customWidth="1"/>
    <col min="15111" max="15112" width="10.28515625" style="74" customWidth="1"/>
    <col min="15113" max="15360" width="10.42578125" style="74"/>
    <col min="15361" max="15361" width="6.5703125" style="74" customWidth="1"/>
    <col min="15362" max="15362" width="29.7109375" style="74" customWidth="1"/>
    <col min="15363" max="15364" width="11.140625" style="74" customWidth="1"/>
    <col min="15365" max="15366" width="10.42578125" style="74" customWidth="1"/>
    <col min="15367" max="15368" width="10.28515625" style="74" customWidth="1"/>
    <col min="15369" max="15616" width="10.42578125" style="74"/>
    <col min="15617" max="15617" width="6.5703125" style="74" customWidth="1"/>
    <col min="15618" max="15618" width="29.7109375" style="74" customWidth="1"/>
    <col min="15619" max="15620" width="11.140625" style="74" customWidth="1"/>
    <col min="15621" max="15622" width="10.42578125" style="74" customWidth="1"/>
    <col min="15623" max="15624" width="10.28515625" style="74" customWidth="1"/>
    <col min="15625" max="15872" width="10.42578125" style="74"/>
    <col min="15873" max="15873" width="6.5703125" style="74" customWidth="1"/>
    <col min="15874" max="15874" width="29.7109375" style="74" customWidth="1"/>
    <col min="15875" max="15876" width="11.140625" style="74" customWidth="1"/>
    <col min="15877" max="15878" width="10.42578125" style="74" customWidth="1"/>
    <col min="15879" max="15880" width="10.28515625" style="74" customWidth="1"/>
    <col min="15881" max="16128" width="10.42578125" style="74"/>
    <col min="16129" max="16129" width="6.5703125" style="74" customWidth="1"/>
    <col min="16130" max="16130" width="29.7109375" style="74" customWidth="1"/>
    <col min="16131" max="16132" width="11.140625" style="74" customWidth="1"/>
    <col min="16133" max="16134" width="10.42578125" style="74" customWidth="1"/>
    <col min="16135" max="16136" width="10.28515625" style="74" customWidth="1"/>
    <col min="16137" max="16384" width="10.42578125" style="74"/>
  </cols>
  <sheetData>
    <row r="1" spans="1:20" x14ac:dyDescent="0.25">
      <c r="A1" s="72" t="s">
        <v>92</v>
      </c>
      <c r="B1" s="73"/>
      <c r="C1" s="241"/>
      <c r="D1" s="241"/>
      <c r="E1" s="241"/>
      <c r="R1" s="237" t="s">
        <v>188</v>
      </c>
      <c r="S1" s="237"/>
      <c r="T1" s="237"/>
    </row>
    <row r="2" spans="1:20" x14ac:dyDescent="0.25">
      <c r="A2" s="72" t="s">
        <v>93</v>
      </c>
      <c r="B2" s="73"/>
      <c r="C2" s="241"/>
      <c r="D2" s="241"/>
      <c r="E2" s="241"/>
    </row>
    <row r="4" spans="1:20" ht="18.75" x14ac:dyDescent="0.3">
      <c r="A4" s="238" t="s">
        <v>217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</row>
    <row r="5" spans="1:20" x14ac:dyDescent="0.25">
      <c r="A5" s="239" t="str">
        <f>'96'!A5:E5</f>
        <v>(Kèm theo Quyết định số        /QĐ-UBND ngày      tháng 7 năm 2022 của UBND huyện Đăk Hà)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0" ht="17.25" x14ac:dyDescent="0.3">
      <c r="A6" s="75"/>
      <c r="R6" s="240" t="s">
        <v>0</v>
      </c>
      <c r="S6" s="240"/>
      <c r="T6" s="240"/>
    </row>
    <row r="7" spans="1:20" ht="16.5" customHeight="1" x14ac:dyDescent="0.25">
      <c r="A7" s="242" t="s">
        <v>1</v>
      </c>
      <c r="B7" s="242" t="s">
        <v>82</v>
      </c>
      <c r="C7" s="245" t="s">
        <v>94</v>
      </c>
      <c r="D7" s="246"/>
      <c r="E7" s="246"/>
      <c r="F7" s="246"/>
      <c r="G7" s="246"/>
      <c r="H7" s="247"/>
      <c r="I7" s="245" t="s">
        <v>84</v>
      </c>
      <c r="J7" s="246"/>
      <c r="K7" s="246"/>
      <c r="L7" s="246"/>
      <c r="M7" s="246"/>
      <c r="N7" s="247"/>
      <c r="O7" s="245" t="s">
        <v>86</v>
      </c>
      <c r="P7" s="246"/>
      <c r="Q7" s="246"/>
      <c r="R7" s="246"/>
      <c r="S7" s="246"/>
      <c r="T7" s="247"/>
    </row>
    <row r="8" spans="1:20" ht="16.5" customHeight="1" x14ac:dyDescent="0.25">
      <c r="A8" s="243"/>
      <c r="B8" s="243"/>
      <c r="C8" s="242" t="s">
        <v>79</v>
      </c>
      <c r="D8" s="242" t="s">
        <v>189</v>
      </c>
      <c r="E8" s="245" t="s">
        <v>190</v>
      </c>
      <c r="F8" s="246"/>
      <c r="G8" s="246"/>
      <c r="H8" s="247"/>
      <c r="I8" s="242" t="s">
        <v>79</v>
      </c>
      <c r="J8" s="242" t="s">
        <v>189</v>
      </c>
      <c r="K8" s="245" t="s">
        <v>190</v>
      </c>
      <c r="L8" s="246"/>
      <c r="M8" s="246"/>
      <c r="N8" s="247"/>
      <c r="O8" s="242" t="s">
        <v>79</v>
      </c>
      <c r="P8" s="242" t="s">
        <v>189</v>
      </c>
      <c r="Q8" s="245" t="s">
        <v>190</v>
      </c>
      <c r="R8" s="246"/>
      <c r="S8" s="246"/>
      <c r="T8" s="247"/>
    </row>
    <row r="9" spans="1:20" ht="173.25" x14ac:dyDescent="0.25">
      <c r="A9" s="244"/>
      <c r="B9" s="244"/>
      <c r="C9" s="244"/>
      <c r="D9" s="244"/>
      <c r="E9" s="76" t="s">
        <v>79</v>
      </c>
      <c r="F9" s="77" t="s">
        <v>191</v>
      </c>
      <c r="G9" s="77" t="s">
        <v>192</v>
      </c>
      <c r="H9" s="77" t="s">
        <v>193</v>
      </c>
      <c r="I9" s="244"/>
      <c r="J9" s="244"/>
      <c r="K9" s="76" t="s">
        <v>79</v>
      </c>
      <c r="L9" s="77" t="s">
        <v>191</v>
      </c>
      <c r="M9" s="77" t="s">
        <v>192</v>
      </c>
      <c r="N9" s="77" t="s">
        <v>193</v>
      </c>
      <c r="O9" s="244"/>
      <c r="P9" s="244"/>
      <c r="Q9" s="76" t="s">
        <v>79</v>
      </c>
      <c r="R9" s="77" t="s">
        <v>191</v>
      </c>
      <c r="S9" s="77" t="s">
        <v>192</v>
      </c>
      <c r="T9" s="77" t="s">
        <v>193</v>
      </c>
    </row>
    <row r="10" spans="1:20" x14ac:dyDescent="0.25">
      <c r="A10" s="78" t="s">
        <v>2</v>
      </c>
      <c r="B10" s="78" t="s">
        <v>16</v>
      </c>
      <c r="C10" s="78">
        <v>1</v>
      </c>
      <c r="D10" s="78">
        <v>2</v>
      </c>
      <c r="E10" s="78">
        <v>3</v>
      </c>
      <c r="F10" s="78">
        <v>4</v>
      </c>
      <c r="G10" s="78">
        <v>5</v>
      </c>
      <c r="H10" s="78">
        <v>6</v>
      </c>
      <c r="I10" s="78">
        <v>7</v>
      </c>
      <c r="J10" s="78">
        <v>8</v>
      </c>
      <c r="K10" s="78">
        <v>9</v>
      </c>
      <c r="L10" s="78">
        <v>10</v>
      </c>
      <c r="M10" s="78">
        <v>11</v>
      </c>
      <c r="N10" s="78">
        <v>12</v>
      </c>
      <c r="O10" s="78" t="s">
        <v>194</v>
      </c>
      <c r="P10" s="78" t="s">
        <v>195</v>
      </c>
      <c r="Q10" s="78" t="s">
        <v>196</v>
      </c>
      <c r="R10" s="78" t="s">
        <v>197</v>
      </c>
      <c r="S10" s="78" t="s">
        <v>198</v>
      </c>
      <c r="T10" s="78" t="s">
        <v>199</v>
      </c>
    </row>
    <row r="11" spans="1:20" s="83" customFormat="1" ht="15.75" x14ac:dyDescent="0.25">
      <c r="A11" s="79"/>
      <c r="B11" s="79" t="s">
        <v>76</v>
      </c>
      <c r="C11" s="80">
        <f>SUM(C12:C22)</f>
        <v>54082.273045999988</v>
      </c>
      <c r="D11" s="101">
        <f t="shared" ref="D11:N11" si="0">SUM(D12:D22)</f>
        <v>41150.894</v>
      </c>
      <c r="E11" s="80">
        <f t="shared" si="0"/>
        <v>12931.379046000002</v>
      </c>
      <c r="F11" s="81">
        <f t="shared" si="0"/>
        <v>0</v>
      </c>
      <c r="G11" s="80">
        <f t="shared" si="0"/>
        <v>12931.379046000002</v>
      </c>
      <c r="H11" s="81">
        <f>SUM(H12:H22)</f>
        <v>0</v>
      </c>
      <c r="I11" s="80">
        <f t="shared" si="0"/>
        <v>54051.271045999994</v>
      </c>
      <c r="J11" s="80">
        <f t="shared" si="0"/>
        <v>41150.894</v>
      </c>
      <c r="K11" s="80">
        <f t="shared" si="0"/>
        <v>12900.377046</v>
      </c>
      <c r="L11" s="81">
        <f t="shared" si="0"/>
        <v>0</v>
      </c>
      <c r="M11" s="80">
        <f t="shared" si="0"/>
        <v>12900.377046</v>
      </c>
      <c r="N11" s="80">
        <f t="shared" si="0"/>
        <v>0</v>
      </c>
      <c r="O11" s="82">
        <f>I11/C11*100</f>
        <v>99.942676225953704</v>
      </c>
      <c r="P11" s="82">
        <f>J11/D11*100</f>
        <v>100</v>
      </c>
      <c r="Q11" s="82">
        <f>K11/E11*100</f>
        <v>99.76025758822999</v>
      </c>
      <c r="R11" s="82"/>
      <c r="S11" s="82">
        <f>M11/G11*100</f>
        <v>99.76025758822999</v>
      </c>
      <c r="T11" s="82"/>
    </row>
    <row r="12" spans="1:20" s="83" customFormat="1" ht="15.75" x14ac:dyDescent="0.25">
      <c r="A12" s="102">
        <v>1</v>
      </c>
      <c r="B12" s="103" t="s">
        <v>200</v>
      </c>
      <c r="C12" s="84">
        <f>D12+E12</f>
        <v>5445.4772000000003</v>
      </c>
      <c r="D12" s="85">
        <v>3518</v>
      </c>
      <c r="E12" s="85">
        <f>F12+G12+H12</f>
        <v>1927.4772</v>
      </c>
      <c r="F12" s="86"/>
      <c r="G12" s="104">
        <v>1927.4772</v>
      </c>
      <c r="H12" s="86"/>
      <c r="I12" s="87">
        <f>J12+K12</f>
        <v>5445.4772000000003</v>
      </c>
      <c r="J12" s="85">
        <v>3518</v>
      </c>
      <c r="K12" s="85">
        <f>L12+M12+N12</f>
        <v>1927.4772</v>
      </c>
      <c r="L12" s="86"/>
      <c r="M12" s="104">
        <v>1927.4772</v>
      </c>
      <c r="N12" s="104"/>
      <c r="O12" s="88">
        <f t="shared" ref="O12:Q22" si="1">I12/C12*100</f>
        <v>100</v>
      </c>
      <c r="P12" s="88">
        <f t="shared" si="1"/>
        <v>100</v>
      </c>
      <c r="Q12" s="88">
        <f t="shared" si="1"/>
        <v>100</v>
      </c>
      <c r="R12" s="88"/>
      <c r="S12" s="88">
        <f t="shared" ref="S12:S22" si="2">M12/G12*100</f>
        <v>100</v>
      </c>
      <c r="T12" s="88"/>
    </row>
    <row r="13" spans="1:20" s="83" customFormat="1" ht="15.75" x14ac:dyDescent="0.25">
      <c r="A13" s="102">
        <v>2</v>
      </c>
      <c r="B13" s="103" t="s">
        <v>129</v>
      </c>
      <c r="C13" s="84">
        <f t="shared" ref="C13:C22" si="3">D13+E13</f>
        <v>5735.0565500000002</v>
      </c>
      <c r="D13" s="85">
        <v>4216</v>
      </c>
      <c r="E13" s="85">
        <f t="shared" ref="E13:E22" si="4">F13+G13+H13</f>
        <v>1519.05655</v>
      </c>
      <c r="F13" s="86"/>
      <c r="G13" s="104">
        <v>1519.05655</v>
      </c>
      <c r="H13" s="86"/>
      <c r="I13" s="87">
        <f t="shared" ref="I13:I22" si="5">J13+K13</f>
        <v>5735.0565500000002</v>
      </c>
      <c r="J13" s="85">
        <v>4216</v>
      </c>
      <c r="K13" s="85">
        <f t="shared" ref="K13:K22" si="6">L13+M13+N13</f>
        <v>1519.05655</v>
      </c>
      <c r="L13" s="86"/>
      <c r="M13" s="104">
        <v>1519.05655</v>
      </c>
      <c r="N13" s="104"/>
      <c r="O13" s="88">
        <f t="shared" si="1"/>
        <v>100</v>
      </c>
      <c r="P13" s="88">
        <f t="shared" si="1"/>
        <v>100</v>
      </c>
      <c r="Q13" s="88">
        <f t="shared" si="1"/>
        <v>100</v>
      </c>
      <c r="R13" s="88"/>
      <c r="S13" s="88">
        <f>M13/G13*100</f>
        <v>100</v>
      </c>
      <c r="T13" s="88"/>
    </row>
    <row r="14" spans="1:20" s="83" customFormat="1" ht="15.75" x14ac:dyDescent="0.25">
      <c r="A14" s="102">
        <v>3</v>
      </c>
      <c r="B14" s="103" t="s">
        <v>201</v>
      </c>
      <c r="C14" s="84">
        <f t="shared" si="3"/>
        <v>4950.5493239999996</v>
      </c>
      <c r="D14" s="85">
        <v>3643</v>
      </c>
      <c r="E14" s="85">
        <f t="shared" si="4"/>
        <v>1307.5493240000001</v>
      </c>
      <c r="F14" s="86"/>
      <c r="G14" s="104">
        <v>1307.5493240000001</v>
      </c>
      <c r="H14" s="86"/>
      <c r="I14" s="87">
        <f t="shared" si="5"/>
        <v>4950.5493239999996</v>
      </c>
      <c r="J14" s="85">
        <v>3643</v>
      </c>
      <c r="K14" s="85">
        <f t="shared" si="6"/>
        <v>1307.5493240000001</v>
      </c>
      <c r="L14" s="86"/>
      <c r="M14" s="104">
        <v>1307.5493240000001</v>
      </c>
      <c r="N14" s="104"/>
      <c r="O14" s="88">
        <f t="shared" si="1"/>
        <v>100</v>
      </c>
      <c r="P14" s="88">
        <f t="shared" si="1"/>
        <v>100</v>
      </c>
      <c r="Q14" s="88">
        <f t="shared" si="1"/>
        <v>100</v>
      </c>
      <c r="R14" s="88"/>
      <c r="S14" s="88">
        <f t="shared" si="2"/>
        <v>100</v>
      </c>
      <c r="T14" s="88"/>
    </row>
    <row r="15" spans="1:20" s="83" customFormat="1" ht="15.75" x14ac:dyDescent="0.25">
      <c r="A15" s="102">
        <v>4</v>
      </c>
      <c r="B15" s="103" t="s">
        <v>130</v>
      </c>
      <c r="C15" s="84">
        <f t="shared" si="3"/>
        <v>5190.6206000000002</v>
      </c>
      <c r="D15" s="85">
        <v>3905</v>
      </c>
      <c r="E15" s="85">
        <f t="shared" si="4"/>
        <v>1285.6206</v>
      </c>
      <c r="F15" s="86"/>
      <c r="G15" s="104">
        <v>1285.6206</v>
      </c>
      <c r="H15" s="86"/>
      <c r="I15" s="87">
        <f t="shared" si="5"/>
        <v>5190.6206000000002</v>
      </c>
      <c r="J15" s="85">
        <v>3905</v>
      </c>
      <c r="K15" s="85">
        <f t="shared" si="6"/>
        <v>1285.6206</v>
      </c>
      <c r="L15" s="86"/>
      <c r="M15" s="104">
        <v>1285.6206</v>
      </c>
      <c r="N15" s="104"/>
      <c r="O15" s="88">
        <f t="shared" si="1"/>
        <v>100</v>
      </c>
      <c r="P15" s="88">
        <f t="shared" si="1"/>
        <v>100</v>
      </c>
      <c r="Q15" s="88">
        <f t="shared" si="1"/>
        <v>100</v>
      </c>
      <c r="R15" s="88"/>
      <c r="S15" s="88">
        <f t="shared" si="2"/>
        <v>100</v>
      </c>
      <c r="T15" s="88"/>
    </row>
    <row r="16" spans="1:20" s="83" customFormat="1" ht="15.75" x14ac:dyDescent="0.25">
      <c r="A16" s="102">
        <v>5</v>
      </c>
      <c r="B16" s="103" t="s">
        <v>131</v>
      </c>
      <c r="C16" s="84">
        <f t="shared" si="3"/>
        <v>3874.0464000000002</v>
      </c>
      <c r="D16" s="85">
        <v>3247</v>
      </c>
      <c r="E16" s="85">
        <f t="shared" si="4"/>
        <v>627.04639999999995</v>
      </c>
      <c r="F16" s="86"/>
      <c r="G16" s="104">
        <v>627.04639999999995</v>
      </c>
      <c r="H16" s="89"/>
      <c r="I16" s="87">
        <f t="shared" si="5"/>
        <v>3874.0464000000002</v>
      </c>
      <c r="J16" s="85">
        <v>3247</v>
      </c>
      <c r="K16" s="85">
        <f t="shared" si="6"/>
        <v>627.04639999999995</v>
      </c>
      <c r="L16" s="89"/>
      <c r="M16" s="104">
        <v>627.04639999999995</v>
      </c>
      <c r="N16" s="105"/>
      <c r="O16" s="88">
        <f t="shared" si="1"/>
        <v>100</v>
      </c>
      <c r="P16" s="88">
        <f t="shared" si="1"/>
        <v>100</v>
      </c>
      <c r="Q16" s="88">
        <f t="shared" si="1"/>
        <v>100</v>
      </c>
      <c r="R16" s="88"/>
      <c r="S16" s="88">
        <f>M16/G16*100</f>
        <v>100</v>
      </c>
      <c r="T16" s="88"/>
    </row>
    <row r="17" spans="1:20" s="83" customFormat="1" ht="15.75" x14ac:dyDescent="0.25">
      <c r="A17" s="102">
        <v>6</v>
      </c>
      <c r="B17" s="103" t="s">
        <v>132</v>
      </c>
      <c r="C17" s="84">
        <f t="shared" si="3"/>
        <v>4911.0473860000002</v>
      </c>
      <c r="D17" s="216">
        <v>3971.8939999999998</v>
      </c>
      <c r="E17" s="85">
        <f t="shared" si="4"/>
        <v>939.15338599999995</v>
      </c>
      <c r="F17" s="86"/>
      <c r="G17" s="104">
        <v>939.15338599999995</v>
      </c>
      <c r="H17" s="89"/>
      <c r="I17" s="87">
        <f t="shared" si="5"/>
        <v>4911.0473860000002</v>
      </c>
      <c r="J17" s="85">
        <v>3971.8939999999998</v>
      </c>
      <c r="K17" s="85">
        <f t="shared" si="6"/>
        <v>939.15338599999995</v>
      </c>
      <c r="L17" s="89"/>
      <c r="M17" s="104">
        <v>939.15338599999995</v>
      </c>
      <c r="N17" s="105"/>
      <c r="O17" s="88">
        <f t="shared" si="1"/>
        <v>100</v>
      </c>
      <c r="P17" s="88">
        <f t="shared" si="1"/>
        <v>100</v>
      </c>
      <c r="Q17" s="88">
        <f t="shared" si="1"/>
        <v>100</v>
      </c>
      <c r="R17" s="88"/>
      <c r="S17" s="88">
        <f t="shared" si="2"/>
        <v>100</v>
      </c>
      <c r="T17" s="88"/>
    </row>
    <row r="18" spans="1:20" s="83" customFormat="1" ht="15.75" x14ac:dyDescent="0.25">
      <c r="A18" s="102">
        <v>7</v>
      </c>
      <c r="B18" s="103" t="s">
        <v>133</v>
      </c>
      <c r="C18" s="84">
        <f t="shared" si="3"/>
        <v>4297.3635999999997</v>
      </c>
      <c r="D18" s="85">
        <v>3349</v>
      </c>
      <c r="E18" s="85">
        <f t="shared" si="4"/>
        <v>948.36360000000002</v>
      </c>
      <c r="F18" s="86"/>
      <c r="G18" s="104">
        <v>948.36360000000002</v>
      </c>
      <c r="H18" s="89"/>
      <c r="I18" s="87">
        <f t="shared" si="5"/>
        <v>4297.3635999999997</v>
      </c>
      <c r="J18" s="85">
        <v>3349</v>
      </c>
      <c r="K18" s="85">
        <f t="shared" si="6"/>
        <v>948.36360000000002</v>
      </c>
      <c r="L18" s="89"/>
      <c r="M18" s="104">
        <v>948.36360000000002</v>
      </c>
      <c r="N18" s="105"/>
      <c r="O18" s="88">
        <f t="shared" si="1"/>
        <v>100</v>
      </c>
      <c r="P18" s="88">
        <f t="shared" si="1"/>
        <v>100</v>
      </c>
      <c r="Q18" s="88">
        <f t="shared" si="1"/>
        <v>100</v>
      </c>
      <c r="R18" s="88"/>
      <c r="S18" s="88">
        <f t="shared" si="2"/>
        <v>100</v>
      </c>
      <c r="T18" s="88"/>
    </row>
    <row r="19" spans="1:20" s="83" customFormat="1" ht="15.75" x14ac:dyDescent="0.25">
      <c r="A19" s="102">
        <v>8</v>
      </c>
      <c r="B19" s="103" t="s">
        <v>202</v>
      </c>
      <c r="C19" s="84">
        <f t="shared" si="3"/>
        <v>5125.327792</v>
      </c>
      <c r="D19" s="85">
        <v>3894.415</v>
      </c>
      <c r="E19" s="85">
        <f t="shared" si="4"/>
        <v>1230.9127920000001</v>
      </c>
      <c r="F19" s="86"/>
      <c r="G19" s="104">
        <v>1230.9127920000001</v>
      </c>
      <c r="H19" s="89"/>
      <c r="I19" s="87">
        <f t="shared" si="5"/>
        <v>5125.327792</v>
      </c>
      <c r="J19" s="85">
        <v>3894.415</v>
      </c>
      <c r="K19" s="85">
        <f t="shared" si="6"/>
        <v>1230.9127919999999</v>
      </c>
      <c r="L19" s="89"/>
      <c r="M19" s="104">
        <v>1230.9127919999999</v>
      </c>
      <c r="N19" s="105"/>
      <c r="O19" s="88">
        <f t="shared" si="1"/>
        <v>100</v>
      </c>
      <c r="P19" s="88">
        <f t="shared" si="1"/>
        <v>100</v>
      </c>
      <c r="Q19" s="88">
        <f t="shared" si="1"/>
        <v>99.999999999999972</v>
      </c>
      <c r="R19" s="88"/>
      <c r="S19" s="88">
        <f t="shared" si="2"/>
        <v>99.999999999999972</v>
      </c>
      <c r="T19" s="88"/>
    </row>
    <row r="20" spans="1:20" s="83" customFormat="1" ht="15.75" x14ac:dyDescent="0.25">
      <c r="A20" s="102">
        <v>9</v>
      </c>
      <c r="B20" s="103" t="s">
        <v>134</v>
      </c>
      <c r="C20" s="84">
        <f t="shared" si="3"/>
        <v>5157.8405999999995</v>
      </c>
      <c r="D20" s="85">
        <v>4083</v>
      </c>
      <c r="E20" s="85">
        <f t="shared" si="4"/>
        <v>1074.8406</v>
      </c>
      <c r="F20" s="86"/>
      <c r="G20" s="104">
        <v>1074.8406</v>
      </c>
      <c r="H20" s="89"/>
      <c r="I20" s="87">
        <f t="shared" si="5"/>
        <v>5157.8405999999995</v>
      </c>
      <c r="J20" s="85">
        <v>4083</v>
      </c>
      <c r="K20" s="85">
        <f t="shared" si="6"/>
        <v>1074.8406</v>
      </c>
      <c r="L20" s="89"/>
      <c r="M20" s="104">
        <v>1074.8406</v>
      </c>
      <c r="N20" s="105"/>
      <c r="O20" s="88">
        <f t="shared" si="1"/>
        <v>100</v>
      </c>
      <c r="P20" s="88">
        <f t="shared" si="1"/>
        <v>100</v>
      </c>
      <c r="Q20" s="88">
        <f t="shared" si="1"/>
        <v>100</v>
      </c>
      <c r="R20" s="88"/>
      <c r="S20" s="88">
        <f t="shared" si="2"/>
        <v>100</v>
      </c>
      <c r="T20" s="88"/>
    </row>
    <row r="21" spans="1:20" s="83" customFormat="1" ht="15.75" x14ac:dyDescent="0.25">
      <c r="A21" s="102">
        <v>10</v>
      </c>
      <c r="B21" s="103" t="s">
        <v>135</v>
      </c>
      <c r="C21" s="84">
        <f t="shared" si="3"/>
        <v>4822.8684000000003</v>
      </c>
      <c r="D21" s="85">
        <v>3875.585</v>
      </c>
      <c r="E21" s="85">
        <f t="shared" si="4"/>
        <v>947.28340000000003</v>
      </c>
      <c r="F21" s="86"/>
      <c r="G21" s="104">
        <v>947.28340000000003</v>
      </c>
      <c r="H21" s="89"/>
      <c r="I21" s="87">
        <f t="shared" si="5"/>
        <v>4822.8684000000003</v>
      </c>
      <c r="J21" s="85">
        <v>3875.585</v>
      </c>
      <c r="K21" s="85">
        <f t="shared" si="6"/>
        <v>947.28340000000003</v>
      </c>
      <c r="L21" s="89"/>
      <c r="M21" s="104">
        <v>947.28340000000003</v>
      </c>
      <c r="N21" s="105"/>
      <c r="O21" s="88">
        <f t="shared" si="1"/>
        <v>100</v>
      </c>
      <c r="P21" s="88">
        <f t="shared" si="1"/>
        <v>100</v>
      </c>
      <c r="Q21" s="88">
        <f t="shared" si="1"/>
        <v>100</v>
      </c>
      <c r="R21" s="88"/>
      <c r="S21" s="88">
        <f t="shared" si="2"/>
        <v>100</v>
      </c>
      <c r="T21" s="88"/>
    </row>
    <row r="22" spans="1:20" s="83" customFormat="1" ht="15.75" x14ac:dyDescent="0.25">
      <c r="A22" s="106">
        <v>11</v>
      </c>
      <c r="B22" s="107" t="s">
        <v>136</v>
      </c>
      <c r="C22" s="90">
        <f t="shared" si="3"/>
        <v>4572.075194</v>
      </c>
      <c r="D22" s="91">
        <v>3448</v>
      </c>
      <c r="E22" s="215">
        <f t="shared" si="4"/>
        <v>1124.075194</v>
      </c>
      <c r="F22" s="92"/>
      <c r="G22" s="109">
        <v>1124.075194</v>
      </c>
      <c r="H22" s="93"/>
      <c r="I22" s="94">
        <f t="shared" si="5"/>
        <v>4541.0731940000005</v>
      </c>
      <c r="J22" s="91">
        <v>3448</v>
      </c>
      <c r="K22" s="91">
        <f t="shared" si="6"/>
        <v>1093.0731940000001</v>
      </c>
      <c r="L22" s="93"/>
      <c r="M22" s="109">
        <v>1093.0731940000001</v>
      </c>
      <c r="N22" s="108"/>
      <c r="O22" s="95">
        <f t="shared" si="1"/>
        <v>99.321927162512907</v>
      </c>
      <c r="P22" s="95">
        <f t="shared" si="1"/>
        <v>100</v>
      </c>
      <c r="Q22" s="95">
        <f t="shared" si="1"/>
        <v>97.241999452929832</v>
      </c>
      <c r="R22" s="95"/>
      <c r="S22" s="95">
        <f t="shared" si="2"/>
        <v>97.241999452929832</v>
      </c>
      <c r="T22" s="95"/>
    </row>
    <row r="27" spans="1:20" x14ac:dyDescent="0.25">
      <c r="G27" s="96"/>
    </row>
    <row r="28" spans="1:20" x14ac:dyDescent="0.25">
      <c r="G28" s="96"/>
    </row>
    <row r="29" spans="1:20" x14ac:dyDescent="0.25">
      <c r="G29" s="96"/>
    </row>
    <row r="30" spans="1:20" x14ac:dyDescent="0.25">
      <c r="G30" s="96"/>
    </row>
    <row r="31" spans="1:20" x14ac:dyDescent="0.25">
      <c r="G31" s="96"/>
    </row>
    <row r="32" spans="1:20" x14ac:dyDescent="0.25">
      <c r="G32" s="96"/>
    </row>
    <row r="33" spans="7:7" x14ac:dyDescent="0.25">
      <c r="G33" s="96"/>
    </row>
    <row r="34" spans="7:7" x14ac:dyDescent="0.25">
      <c r="G34" s="96"/>
    </row>
    <row r="35" spans="7:7" x14ac:dyDescent="0.25">
      <c r="G35" s="96"/>
    </row>
    <row r="36" spans="7:7" x14ac:dyDescent="0.25">
      <c r="G36" s="96"/>
    </row>
    <row r="37" spans="7:7" x14ac:dyDescent="0.25">
      <c r="G37" s="96"/>
    </row>
    <row r="38" spans="7:7" x14ac:dyDescent="0.25">
      <c r="G38" s="97"/>
    </row>
    <row r="39" spans="7:7" x14ac:dyDescent="0.25">
      <c r="G39" s="97"/>
    </row>
  </sheetData>
  <mergeCells count="20">
    <mergeCell ref="A7:A9"/>
    <mergeCell ref="B7:B9"/>
    <mergeCell ref="C7:H7"/>
    <mergeCell ref="I7:N7"/>
    <mergeCell ref="O7:T7"/>
    <mergeCell ref="O8:O9"/>
    <mergeCell ref="P8:P9"/>
    <mergeCell ref="Q8:T8"/>
    <mergeCell ref="C8:C9"/>
    <mergeCell ref="D8:D9"/>
    <mergeCell ref="E8:H8"/>
    <mergeCell ref="I8:I9"/>
    <mergeCell ref="J8:J9"/>
    <mergeCell ref="K8:N8"/>
    <mergeCell ref="R1:T1"/>
    <mergeCell ref="A4:T4"/>
    <mergeCell ref="A5:T5"/>
    <mergeCell ref="R6:T6"/>
    <mergeCell ref="C1:E1"/>
    <mergeCell ref="C2:E2"/>
  </mergeCells>
  <pageMargins left="0.7" right="0.7" top="0.75" bottom="0.75" header="0.3" footer="0.3"/>
  <pageSetup paperSize="9" scale="5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view="pageBreakPreview" topLeftCell="C19" zoomScale="90" zoomScaleNormal="91" zoomScaleSheetLayoutView="90" workbookViewId="0">
      <selection activeCell="E13" sqref="E13"/>
    </sheetView>
  </sheetViews>
  <sheetFormatPr defaultRowHeight="15" x14ac:dyDescent="0.25"/>
  <cols>
    <col min="1" max="1" width="5.42578125" style="161" customWidth="1"/>
    <col min="2" max="2" width="39.7109375" style="162" customWidth="1"/>
    <col min="3" max="20" width="8.42578125" style="135" customWidth="1"/>
    <col min="21" max="21" width="7.5703125" style="163" customWidth="1"/>
    <col min="22" max="23" width="7.7109375" style="135" customWidth="1"/>
    <col min="24" max="24" width="8.7109375" style="135" customWidth="1"/>
    <col min="25" max="25" width="15.85546875" style="136" customWidth="1"/>
    <col min="26" max="26" width="16.85546875" style="136" customWidth="1"/>
    <col min="27" max="233" width="9.140625" style="136"/>
    <col min="234" max="234" width="5.140625" style="136" customWidth="1"/>
    <col min="235" max="235" width="32.42578125" style="136" customWidth="1"/>
    <col min="236" max="238" width="10.28515625" style="136" customWidth="1"/>
    <col min="239" max="240" width="12.42578125" style="136" customWidth="1"/>
    <col min="241" max="241" width="11.28515625" style="136" customWidth="1"/>
    <col min="242" max="242" width="12.42578125" style="136" customWidth="1"/>
    <col min="243" max="243" width="11.28515625" style="136" customWidth="1"/>
    <col min="244" max="244" width="12.42578125" style="136" customWidth="1"/>
    <col min="245" max="245" width="11.28515625" style="136" customWidth="1"/>
    <col min="246" max="246" width="12.42578125" style="136" customWidth="1"/>
    <col min="247" max="247" width="11.28515625" style="136" customWidth="1"/>
    <col min="248" max="248" width="12.42578125" style="136" customWidth="1"/>
    <col min="249" max="249" width="11.28515625" style="136" customWidth="1"/>
    <col min="250" max="250" width="14.140625" style="136" customWidth="1"/>
    <col min="251" max="251" width="10.28515625" style="136" customWidth="1"/>
    <col min="252" max="252" width="17.140625" style="136" customWidth="1"/>
    <col min="253" max="253" width="12" style="136" customWidth="1"/>
    <col min="254" max="254" width="14.140625" style="136" customWidth="1"/>
    <col min="255" max="255" width="10.28515625" style="136" customWidth="1"/>
    <col min="256" max="256" width="17.140625" style="136" customWidth="1"/>
    <col min="257" max="257" width="12" style="136" customWidth="1"/>
    <col min="258" max="258" width="10.7109375" style="136" customWidth="1"/>
    <col min="259" max="261" width="0" style="136" hidden="1" customWidth="1"/>
    <col min="262" max="489" width="9.140625" style="136"/>
    <col min="490" max="490" width="5.140625" style="136" customWidth="1"/>
    <col min="491" max="491" width="32.42578125" style="136" customWidth="1"/>
    <col min="492" max="494" width="10.28515625" style="136" customWidth="1"/>
    <col min="495" max="496" width="12.42578125" style="136" customWidth="1"/>
    <col min="497" max="497" width="11.28515625" style="136" customWidth="1"/>
    <col min="498" max="498" width="12.42578125" style="136" customWidth="1"/>
    <col min="499" max="499" width="11.28515625" style="136" customWidth="1"/>
    <col min="500" max="500" width="12.42578125" style="136" customWidth="1"/>
    <col min="501" max="501" width="11.28515625" style="136" customWidth="1"/>
    <col min="502" max="502" width="12.42578125" style="136" customWidth="1"/>
    <col min="503" max="503" width="11.28515625" style="136" customWidth="1"/>
    <col min="504" max="504" width="12.42578125" style="136" customWidth="1"/>
    <col min="505" max="505" width="11.28515625" style="136" customWidth="1"/>
    <col min="506" max="506" width="14.140625" style="136" customWidth="1"/>
    <col min="507" max="507" width="10.28515625" style="136" customWidth="1"/>
    <col min="508" max="508" width="17.140625" style="136" customWidth="1"/>
    <col min="509" max="509" width="12" style="136" customWidth="1"/>
    <col min="510" max="510" width="14.140625" style="136" customWidth="1"/>
    <col min="511" max="511" width="10.28515625" style="136" customWidth="1"/>
    <col min="512" max="512" width="17.140625" style="136" customWidth="1"/>
    <col min="513" max="513" width="12" style="136" customWidth="1"/>
    <col min="514" max="514" width="10.7109375" style="136" customWidth="1"/>
    <col min="515" max="517" width="0" style="136" hidden="1" customWidth="1"/>
    <col min="518" max="745" width="9.140625" style="136"/>
    <col min="746" max="746" width="5.140625" style="136" customWidth="1"/>
    <col min="747" max="747" width="32.42578125" style="136" customWidth="1"/>
    <col min="748" max="750" width="10.28515625" style="136" customWidth="1"/>
    <col min="751" max="752" width="12.42578125" style="136" customWidth="1"/>
    <col min="753" max="753" width="11.28515625" style="136" customWidth="1"/>
    <col min="754" max="754" width="12.42578125" style="136" customWidth="1"/>
    <col min="755" max="755" width="11.28515625" style="136" customWidth="1"/>
    <col min="756" max="756" width="12.42578125" style="136" customWidth="1"/>
    <col min="757" max="757" width="11.28515625" style="136" customWidth="1"/>
    <col min="758" max="758" width="12.42578125" style="136" customWidth="1"/>
    <col min="759" max="759" width="11.28515625" style="136" customWidth="1"/>
    <col min="760" max="760" width="12.42578125" style="136" customWidth="1"/>
    <col min="761" max="761" width="11.28515625" style="136" customWidth="1"/>
    <col min="762" max="762" width="14.140625" style="136" customWidth="1"/>
    <col min="763" max="763" width="10.28515625" style="136" customWidth="1"/>
    <col min="764" max="764" width="17.140625" style="136" customWidth="1"/>
    <col min="765" max="765" width="12" style="136" customWidth="1"/>
    <col min="766" max="766" width="14.140625" style="136" customWidth="1"/>
    <col min="767" max="767" width="10.28515625" style="136" customWidth="1"/>
    <col min="768" max="768" width="17.140625" style="136" customWidth="1"/>
    <col min="769" max="769" width="12" style="136" customWidth="1"/>
    <col min="770" max="770" width="10.7109375" style="136" customWidth="1"/>
    <col min="771" max="773" width="0" style="136" hidden="1" customWidth="1"/>
    <col min="774" max="1001" width="9.140625" style="136"/>
    <col min="1002" max="1002" width="5.140625" style="136" customWidth="1"/>
    <col min="1003" max="1003" width="32.42578125" style="136" customWidth="1"/>
    <col min="1004" max="1006" width="10.28515625" style="136" customWidth="1"/>
    <col min="1007" max="1008" width="12.42578125" style="136" customWidth="1"/>
    <col min="1009" max="1009" width="11.28515625" style="136" customWidth="1"/>
    <col min="1010" max="1010" width="12.42578125" style="136" customWidth="1"/>
    <col min="1011" max="1011" width="11.28515625" style="136" customWidth="1"/>
    <col min="1012" max="1012" width="12.42578125" style="136" customWidth="1"/>
    <col min="1013" max="1013" width="11.28515625" style="136" customWidth="1"/>
    <col min="1014" max="1014" width="12.42578125" style="136" customWidth="1"/>
    <col min="1015" max="1015" width="11.28515625" style="136" customWidth="1"/>
    <col min="1016" max="1016" width="12.42578125" style="136" customWidth="1"/>
    <col min="1017" max="1017" width="11.28515625" style="136" customWidth="1"/>
    <col min="1018" max="1018" width="14.140625" style="136" customWidth="1"/>
    <col min="1019" max="1019" width="10.28515625" style="136" customWidth="1"/>
    <col min="1020" max="1020" width="17.140625" style="136" customWidth="1"/>
    <col min="1021" max="1021" width="12" style="136" customWidth="1"/>
    <col min="1022" max="1022" width="14.140625" style="136" customWidth="1"/>
    <col min="1023" max="1023" width="10.28515625" style="136" customWidth="1"/>
    <col min="1024" max="1024" width="17.140625" style="136" customWidth="1"/>
    <col min="1025" max="1025" width="12" style="136" customWidth="1"/>
    <col min="1026" max="1026" width="10.7109375" style="136" customWidth="1"/>
    <col min="1027" max="1029" width="0" style="136" hidden="1" customWidth="1"/>
    <col min="1030" max="1257" width="9.140625" style="136"/>
    <col min="1258" max="1258" width="5.140625" style="136" customWidth="1"/>
    <col min="1259" max="1259" width="32.42578125" style="136" customWidth="1"/>
    <col min="1260" max="1262" width="10.28515625" style="136" customWidth="1"/>
    <col min="1263" max="1264" width="12.42578125" style="136" customWidth="1"/>
    <col min="1265" max="1265" width="11.28515625" style="136" customWidth="1"/>
    <col min="1266" max="1266" width="12.42578125" style="136" customWidth="1"/>
    <col min="1267" max="1267" width="11.28515625" style="136" customWidth="1"/>
    <col min="1268" max="1268" width="12.42578125" style="136" customWidth="1"/>
    <col min="1269" max="1269" width="11.28515625" style="136" customWidth="1"/>
    <col min="1270" max="1270" width="12.42578125" style="136" customWidth="1"/>
    <col min="1271" max="1271" width="11.28515625" style="136" customWidth="1"/>
    <col min="1272" max="1272" width="12.42578125" style="136" customWidth="1"/>
    <col min="1273" max="1273" width="11.28515625" style="136" customWidth="1"/>
    <col min="1274" max="1274" width="14.140625" style="136" customWidth="1"/>
    <col min="1275" max="1275" width="10.28515625" style="136" customWidth="1"/>
    <col min="1276" max="1276" width="17.140625" style="136" customWidth="1"/>
    <col min="1277" max="1277" width="12" style="136" customWidth="1"/>
    <col min="1278" max="1278" width="14.140625" style="136" customWidth="1"/>
    <col min="1279" max="1279" width="10.28515625" style="136" customWidth="1"/>
    <col min="1280" max="1280" width="17.140625" style="136" customWidth="1"/>
    <col min="1281" max="1281" width="12" style="136" customWidth="1"/>
    <col min="1282" max="1282" width="10.7109375" style="136" customWidth="1"/>
    <col min="1283" max="1285" width="0" style="136" hidden="1" customWidth="1"/>
    <col min="1286" max="1513" width="9.140625" style="136"/>
    <col min="1514" max="1514" width="5.140625" style="136" customWidth="1"/>
    <col min="1515" max="1515" width="32.42578125" style="136" customWidth="1"/>
    <col min="1516" max="1518" width="10.28515625" style="136" customWidth="1"/>
    <col min="1519" max="1520" width="12.42578125" style="136" customWidth="1"/>
    <col min="1521" max="1521" width="11.28515625" style="136" customWidth="1"/>
    <col min="1522" max="1522" width="12.42578125" style="136" customWidth="1"/>
    <col min="1523" max="1523" width="11.28515625" style="136" customWidth="1"/>
    <col min="1524" max="1524" width="12.42578125" style="136" customWidth="1"/>
    <col min="1525" max="1525" width="11.28515625" style="136" customWidth="1"/>
    <col min="1526" max="1526" width="12.42578125" style="136" customWidth="1"/>
    <col min="1527" max="1527" width="11.28515625" style="136" customWidth="1"/>
    <col min="1528" max="1528" width="12.42578125" style="136" customWidth="1"/>
    <col min="1529" max="1529" width="11.28515625" style="136" customWidth="1"/>
    <col min="1530" max="1530" width="14.140625" style="136" customWidth="1"/>
    <col min="1531" max="1531" width="10.28515625" style="136" customWidth="1"/>
    <col min="1532" max="1532" width="17.140625" style="136" customWidth="1"/>
    <col min="1533" max="1533" width="12" style="136" customWidth="1"/>
    <col min="1534" max="1534" width="14.140625" style="136" customWidth="1"/>
    <col min="1535" max="1535" width="10.28515625" style="136" customWidth="1"/>
    <col min="1536" max="1536" width="17.140625" style="136" customWidth="1"/>
    <col min="1537" max="1537" width="12" style="136" customWidth="1"/>
    <col min="1538" max="1538" width="10.7109375" style="136" customWidth="1"/>
    <col min="1539" max="1541" width="0" style="136" hidden="1" customWidth="1"/>
    <col min="1542" max="1769" width="9.140625" style="136"/>
    <col min="1770" max="1770" width="5.140625" style="136" customWidth="1"/>
    <col min="1771" max="1771" width="32.42578125" style="136" customWidth="1"/>
    <col min="1772" max="1774" width="10.28515625" style="136" customWidth="1"/>
    <col min="1775" max="1776" width="12.42578125" style="136" customWidth="1"/>
    <col min="1777" max="1777" width="11.28515625" style="136" customWidth="1"/>
    <col min="1778" max="1778" width="12.42578125" style="136" customWidth="1"/>
    <col min="1779" max="1779" width="11.28515625" style="136" customWidth="1"/>
    <col min="1780" max="1780" width="12.42578125" style="136" customWidth="1"/>
    <col min="1781" max="1781" width="11.28515625" style="136" customWidth="1"/>
    <col min="1782" max="1782" width="12.42578125" style="136" customWidth="1"/>
    <col min="1783" max="1783" width="11.28515625" style="136" customWidth="1"/>
    <col min="1784" max="1784" width="12.42578125" style="136" customWidth="1"/>
    <col min="1785" max="1785" width="11.28515625" style="136" customWidth="1"/>
    <col min="1786" max="1786" width="14.140625" style="136" customWidth="1"/>
    <col min="1787" max="1787" width="10.28515625" style="136" customWidth="1"/>
    <col min="1788" max="1788" width="17.140625" style="136" customWidth="1"/>
    <col min="1789" max="1789" width="12" style="136" customWidth="1"/>
    <col min="1790" max="1790" width="14.140625" style="136" customWidth="1"/>
    <col min="1791" max="1791" width="10.28515625" style="136" customWidth="1"/>
    <col min="1792" max="1792" width="17.140625" style="136" customWidth="1"/>
    <col min="1793" max="1793" width="12" style="136" customWidth="1"/>
    <col min="1794" max="1794" width="10.7109375" style="136" customWidth="1"/>
    <col min="1795" max="1797" width="0" style="136" hidden="1" customWidth="1"/>
    <col min="1798" max="2025" width="9.140625" style="136"/>
    <col min="2026" max="2026" width="5.140625" style="136" customWidth="1"/>
    <col min="2027" max="2027" width="32.42578125" style="136" customWidth="1"/>
    <col min="2028" max="2030" width="10.28515625" style="136" customWidth="1"/>
    <col min="2031" max="2032" width="12.42578125" style="136" customWidth="1"/>
    <col min="2033" max="2033" width="11.28515625" style="136" customWidth="1"/>
    <col min="2034" max="2034" width="12.42578125" style="136" customWidth="1"/>
    <col min="2035" max="2035" width="11.28515625" style="136" customWidth="1"/>
    <col min="2036" max="2036" width="12.42578125" style="136" customWidth="1"/>
    <col min="2037" max="2037" width="11.28515625" style="136" customWidth="1"/>
    <col min="2038" max="2038" width="12.42578125" style="136" customWidth="1"/>
    <col min="2039" max="2039" width="11.28515625" style="136" customWidth="1"/>
    <col min="2040" max="2040" width="12.42578125" style="136" customWidth="1"/>
    <col min="2041" max="2041" width="11.28515625" style="136" customWidth="1"/>
    <col min="2042" max="2042" width="14.140625" style="136" customWidth="1"/>
    <col min="2043" max="2043" width="10.28515625" style="136" customWidth="1"/>
    <col min="2044" max="2044" width="17.140625" style="136" customWidth="1"/>
    <col min="2045" max="2045" width="12" style="136" customWidth="1"/>
    <col min="2046" max="2046" width="14.140625" style="136" customWidth="1"/>
    <col min="2047" max="2047" width="10.28515625" style="136" customWidth="1"/>
    <col min="2048" max="2048" width="17.140625" style="136" customWidth="1"/>
    <col min="2049" max="2049" width="12" style="136" customWidth="1"/>
    <col min="2050" max="2050" width="10.7109375" style="136" customWidth="1"/>
    <col min="2051" max="2053" width="0" style="136" hidden="1" customWidth="1"/>
    <col min="2054" max="2281" width="9.140625" style="136"/>
    <col min="2282" max="2282" width="5.140625" style="136" customWidth="1"/>
    <col min="2283" max="2283" width="32.42578125" style="136" customWidth="1"/>
    <col min="2284" max="2286" width="10.28515625" style="136" customWidth="1"/>
    <col min="2287" max="2288" width="12.42578125" style="136" customWidth="1"/>
    <col min="2289" max="2289" width="11.28515625" style="136" customWidth="1"/>
    <col min="2290" max="2290" width="12.42578125" style="136" customWidth="1"/>
    <col min="2291" max="2291" width="11.28515625" style="136" customWidth="1"/>
    <col min="2292" max="2292" width="12.42578125" style="136" customWidth="1"/>
    <col min="2293" max="2293" width="11.28515625" style="136" customWidth="1"/>
    <col min="2294" max="2294" width="12.42578125" style="136" customWidth="1"/>
    <col min="2295" max="2295" width="11.28515625" style="136" customWidth="1"/>
    <col min="2296" max="2296" width="12.42578125" style="136" customWidth="1"/>
    <col min="2297" max="2297" width="11.28515625" style="136" customWidth="1"/>
    <col min="2298" max="2298" width="14.140625" style="136" customWidth="1"/>
    <col min="2299" max="2299" width="10.28515625" style="136" customWidth="1"/>
    <col min="2300" max="2300" width="17.140625" style="136" customWidth="1"/>
    <col min="2301" max="2301" width="12" style="136" customWidth="1"/>
    <col min="2302" max="2302" width="14.140625" style="136" customWidth="1"/>
    <col min="2303" max="2303" width="10.28515625" style="136" customWidth="1"/>
    <col min="2304" max="2304" width="17.140625" style="136" customWidth="1"/>
    <col min="2305" max="2305" width="12" style="136" customWidth="1"/>
    <col min="2306" max="2306" width="10.7109375" style="136" customWidth="1"/>
    <col min="2307" max="2309" width="0" style="136" hidden="1" customWidth="1"/>
    <col min="2310" max="2537" width="9.140625" style="136"/>
    <col min="2538" max="2538" width="5.140625" style="136" customWidth="1"/>
    <col min="2539" max="2539" width="32.42578125" style="136" customWidth="1"/>
    <col min="2540" max="2542" width="10.28515625" style="136" customWidth="1"/>
    <col min="2543" max="2544" width="12.42578125" style="136" customWidth="1"/>
    <col min="2545" max="2545" width="11.28515625" style="136" customWidth="1"/>
    <col min="2546" max="2546" width="12.42578125" style="136" customWidth="1"/>
    <col min="2547" max="2547" width="11.28515625" style="136" customWidth="1"/>
    <col min="2548" max="2548" width="12.42578125" style="136" customWidth="1"/>
    <col min="2549" max="2549" width="11.28515625" style="136" customWidth="1"/>
    <col min="2550" max="2550" width="12.42578125" style="136" customWidth="1"/>
    <col min="2551" max="2551" width="11.28515625" style="136" customWidth="1"/>
    <col min="2552" max="2552" width="12.42578125" style="136" customWidth="1"/>
    <col min="2553" max="2553" width="11.28515625" style="136" customWidth="1"/>
    <col min="2554" max="2554" width="14.140625" style="136" customWidth="1"/>
    <col min="2555" max="2555" width="10.28515625" style="136" customWidth="1"/>
    <col min="2556" max="2556" width="17.140625" style="136" customWidth="1"/>
    <col min="2557" max="2557" width="12" style="136" customWidth="1"/>
    <col min="2558" max="2558" width="14.140625" style="136" customWidth="1"/>
    <col min="2559" max="2559" width="10.28515625" style="136" customWidth="1"/>
    <col min="2560" max="2560" width="17.140625" style="136" customWidth="1"/>
    <col min="2561" max="2561" width="12" style="136" customWidth="1"/>
    <col min="2562" max="2562" width="10.7109375" style="136" customWidth="1"/>
    <col min="2563" max="2565" width="0" style="136" hidden="1" customWidth="1"/>
    <col min="2566" max="2793" width="9.140625" style="136"/>
    <col min="2794" max="2794" width="5.140625" style="136" customWidth="1"/>
    <col min="2795" max="2795" width="32.42578125" style="136" customWidth="1"/>
    <col min="2796" max="2798" width="10.28515625" style="136" customWidth="1"/>
    <col min="2799" max="2800" width="12.42578125" style="136" customWidth="1"/>
    <col min="2801" max="2801" width="11.28515625" style="136" customWidth="1"/>
    <col min="2802" max="2802" width="12.42578125" style="136" customWidth="1"/>
    <col min="2803" max="2803" width="11.28515625" style="136" customWidth="1"/>
    <col min="2804" max="2804" width="12.42578125" style="136" customWidth="1"/>
    <col min="2805" max="2805" width="11.28515625" style="136" customWidth="1"/>
    <col min="2806" max="2806" width="12.42578125" style="136" customWidth="1"/>
    <col min="2807" max="2807" width="11.28515625" style="136" customWidth="1"/>
    <col min="2808" max="2808" width="12.42578125" style="136" customWidth="1"/>
    <col min="2809" max="2809" width="11.28515625" style="136" customWidth="1"/>
    <col min="2810" max="2810" width="14.140625" style="136" customWidth="1"/>
    <col min="2811" max="2811" width="10.28515625" style="136" customWidth="1"/>
    <col min="2812" max="2812" width="17.140625" style="136" customWidth="1"/>
    <col min="2813" max="2813" width="12" style="136" customWidth="1"/>
    <col min="2814" max="2814" width="14.140625" style="136" customWidth="1"/>
    <col min="2815" max="2815" width="10.28515625" style="136" customWidth="1"/>
    <col min="2816" max="2816" width="17.140625" style="136" customWidth="1"/>
    <col min="2817" max="2817" width="12" style="136" customWidth="1"/>
    <col min="2818" max="2818" width="10.7109375" style="136" customWidth="1"/>
    <col min="2819" max="2821" width="0" style="136" hidden="1" customWidth="1"/>
    <col min="2822" max="3049" width="9.140625" style="136"/>
    <col min="3050" max="3050" width="5.140625" style="136" customWidth="1"/>
    <col min="3051" max="3051" width="32.42578125" style="136" customWidth="1"/>
    <col min="3052" max="3054" width="10.28515625" style="136" customWidth="1"/>
    <col min="3055" max="3056" width="12.42578125" style="136" customWidth="1"/>
    <col min="3057" max="3057" width="11.28515625" style="136" customWidth="1"/>
    <col min="3058" max="3058" width="12.42578125" style="136" customWidth="1"/>
    <col min="3059" max="3059" width="11.28515625" style="136" customWidth="1"/>
    <col min="3060" max="3060" width="12.42578125" style="136" customWidth="1"/>
    <col min="3061" max="3061" width="11.28515625" style="136" customWidth="1"/>
    <col min="3062" max="3062" width="12.42578125" style="136" customWidth="1"/>
    <col min="3063" max="3063" width="11.28515625" style="136" customWidth="1"/>
    <col min="3064" max="3064" width="12.42578125" style="136" customWidth="1"/>
    <col min="3065" max="3065" width="11.28515625" style="136" customWidth="1"/>
    <col min="3066" max="3066" width="14.140625" style="136" customWidth="1"/>
    <col min="3067" max="3067" width="10.28515625" style="136" customWidth="1"/>
    <col min="3068" max="3068" width="17.140625" style="136" customWidth="1"/>
    <col min="3069" max="3069" width="12" style="136" customWidth="1"/>
    <col min="3070" max="3070" width="14.140625" style="136" customWidth="1"/>
    <col min="3071" max="3071" width="10.28515625" style="136" customWidth="1"/>
    <col min="3072" max="3072" width="17.140625" style="136" customWidth="1"/>
    <col min="3073" max="3073" width="12" style="136" customWidth="1"/>
    <col min="3074" max="3074" width="10.7109375" style="136" customWidth="1"/>
    <col min="3075" max="3077" width="0" style="136" hidden="1" customWidth="1"/>
    <col min="3078" max="3305" width="9.140625" style="136"/>
    <col min="3306" max="3306" width="5.140625" style="136" customWidth="1"/>
    <col min="3307" max="3307" width="32.42578125" style="136" customWidth="1"/>
    <col min="3308" max="3310" width="10.28515625" style="136" customWidth="1"/>
    <col min="3311" max="3312" width="12.42578125" style="136" customWidth="1"/>
    <col min="3313" max="3313" width="11.28515625" style="136" customWidth="1"/>
    <col min="3314" max="3314" width="12.42578125" style="136" customWidth="1"/>
    <col min="3315" max="3315" width="11.28515625" style="136" customWidth="1"/>
    <col min="3316" max="3316" width="12.42578125" style="136" customWidth="1"/>
    <col min="3317" max="3317" width="11.28515625" style="136" customWidth="1"/>
    <col min="3318" max="3318" width="12.42578125" style="136" customWidth="1"/>
    <col min="3319" max="3319" width="11.28515625" style="136" customWidth="1"/>
    <col min="3320" max="3320" width="12.42578125" style="136" customWidth="1"/>
    <col min="3321" max="3321" width="11.28515625" style="136" customWidth="1"/>
    <col min="3322" max="3322" width="14.140625" style="136" customWidth="1"/>
    <col min="3323" max="3323" width="10.28515625" style="136" customWidth="1"/>
    <col min="3324" max="3324" width="17.140625" style="136" customWidth="1"/>
    <col min="3325" max="3325" width="12" style="136" customWidth="1"/>
    <col min="3326" max="3326" width="14.140625" style="136" customWidth="1"/>
    <col min="3327" max="3327" width="10.28515625" style="136" customWidth="1"/>
    <col min="3328" max="3328" width="17.140625" style="136" customWidth="1"/>
    <col min="3329" max="3329" width="12" style="136" customWidth="1"/>
    <col min="3330" max="3330" width="10.7109375" style="136" customWidth="1"/>
    <col min="3331" max="3333" width="0" style="136" hidden="1" customWidth="1"/>
    <col min="3334" max="3561" width="9.140625" style="136"/>
    <col min="3562" max="3562" width="5.140625" style="136" customWidth="1"/>
    <col min="3563" max="3563" width="32.42578125" style="136" customWidth="1"/>
    <col min="3564" max="3566" width="10.28515625" style="136" customWidth="1"/>
    <col min="3567" max="3568" width="12.42578125" style="136" customWidth="1"/>
    <col min="3569" max="3569" width="11.28515625" style="136" customWidth="1"/>
    <col min="3570" max="3570" width="12.42578125" style="136" customWidth="1"/>
    <col min="3571" max="3571" width="11.28515625" style="136" customWidth="1"/>
    <col min="3572" max="3572" width="12.42578125" style="136" customWidth="1"/>
    <col min="3573" max="3573" width="11.28515625" style="136" customWidth="1"/>
    <col min="3574" max="3574" width="12.42578125" style="136" customWidth="1"/>
    <col min="3575" max="3575" width="11.28515625" style="136" customWidth="1"/>
    <col min="3576" max="3576" width="12.42578125" style="136" customWidth="1"/>
    <col min="3577" max="3577" width="11.28515625" style="136" customWidth="1"/>
    <col min="3578" max="3578" width="14.140625" style="136" customWidth="1"/>
    <col min="3579" max="3579" width="10.28515625" style="136" customWidth="1"/>
    <col min="3580" max="3580" width="17.140625" style="136" customWidth="1"/>
    <col min="3581" max="3581" width="12" style="136" customWidth="1"/>
    <col min="3582" max="3582" width="14.140625" style="136" customWidth="1"/>
    <col min="3583" max="3583" width="10.28515625" style="136" customWidth="1"/>
    <col min="3584" max="3584" width="17.140625" style="136" customWidth="1"/>
    <col min="3585" max="3585" width="12" style="136" customWidth="1"/>
    <col min="3586" max="3586" width="10.7109375" style="136" customWidth="1"/>
    <col min="3587" max="3589" width="0" style="136" hidden="1" customWidth="1"/>
    <col min="3590" max="3817" width="9.140625" style="136"/>
    <col min="3818" max="3818" width="5.140625" style="136" customWidth="1"/>
    <col min="3819" max="3819" width="32.42578125" style="136" customWidth="1"/>
    <col min="3820" max="3822" width="10.28515625" style="136" customWidth="1"/>
    <col min="3823" max="3824" width="12.42578125" style="136" customWidth="1"/>
    <col min="3825" max="3825" width="11.28515625" style="136" customWidth="1"/>
    <col min="3826" max="3826" width="12.42578125" style="136" customWidth="1"/>
    <col min="3827" max="3827" width="11.28515625" style="136" customWidth="1"/>
    <col min="3828" max="3828" width="12.42578125" style="136" customWidth="1"/>
    <col min="3829" max="3829" width="11.28515625" style="136" customWidth="1"/>
    <col min="3830" max="3830" width="12.42578125" style="136" customWidth="1"/>
    <col min="3831" max="3831" width="11.28515625" style="136" customWidth="1"/>
    <col min="3832" max="3832" width="12.42578125" style="136" customWidth="1"/>
    <col min="3833" max="3833" width="11.28515625" style="136" customWidth="1"/>
    <col min="3834" max="3834" width="14.140625" style="136" customWidth="1"/>
    <col min="3835" max="3835" width="10.28515625" style="136" customWidth="1"/>
    <col min="3836" max="3836" width="17.140625" style="136" customWidth="1"/>
    <col min="3837" max="3837" width="12" style="136" customWidth="1"/>
    <col min="3838" max="3838" width="14.140625" style="136" customWidth="1"/>
    <col min="3839" max="3839" width="10.28515625" style="136" customWidth="1"/>
    <col min="3840" max="3840" width="17.140625" style="136" customWidth="1"/>
    <col min="3841" max="3841" width="12" style="136" customWidth="1"/>
    <col min="3842" max="3842" width="10.7109375" style="136" customWidth="1"/>
    <col min="3843" max="3845" width="0" style="136" hidden="1" customWidth="1"/>
    <col min="3846" max="4073" width="9.140625" style="136"/>
    <col min="4074" max="4074" width="5.140625" style="136" customWidth="1"/>
    <col min="4075" max="4075" width="32.42578125" style="136" customWidth="1"/>
    <col min="4076" max="4078" width="10.28515625" style="136" customWidth="1"/>
    <col min="4079" max="4080" width="12.42578125" style="136" customWidth="1"/>
    <col min="4081" max="4081" width="11.28515625" style="136" customWidth="1"/>
    <col min="4082" max="4082" width="12.42578125" style="136" customWidth="1"/>
    <col min="4083" max="4083" width="11.28515625" style="136" customWidth="1"/>
    <col min="4084" max="4084" width="12.42578125" style="136" customWidth="1"/>
    <col min="4085" max="4085" width="11.28515625" style="136" customWidth="1"/>
    <col min="4086" max="4086" width="12.42578125" style="136" customWidth="1"/>
    <col min="4087" max="4087" width="11.28515625" style="136" customWidth="1"/>
    <col min="4088" max="4088" width="12.42578125" style="136" customWidth="1"/>
    <col min="4089" max="4089" width="11.28515625" style="136" customWidth="1"/>
    <col min="4090" max="4090" width="14.140625" style="136" customWidth="1"/>
    <col min="4091" max="4091" width="10.28515625" style="136" customWidth="1"/>
    <col min="4092" max="4092" width="17.140625" style="136" customWidth="1"/>
    <col min="4093" max="4093" width="12" style="136" customWidth="1"/>
    <col min="4094" max="4094" width="14.140625" style="136" customWidth="1"/>
    <col min="4095" max="4095" width="10.28515625" style="136" customWidth="1"/>
    <col min="4096" max="4096" width="17.140625" style="136" customWidth="1"/>
    <col min="4097" max="4097" width="12" style="136" customWidth="1"/>
    <col min="4098" max="4098" width="10.7109375" style="136" customWidth="1"/>
    <col min="4099" max="4101" width="0" style="136" hidden="1" customWidth="1"/>
    <col min="4102" max="4329" width="9.140625" style="136"/>
    <col min="4330" max="4330" width="5.140625" style="136" customWidth="1"/>
    <col min="4331" max="4331" width="32.42578125" style="136" customWidth="1"/>
    <col min="4332" max="4334" width="10.28515625" style="136" customWidth="1"/>
    <col min="4335" max="4336" width="12.42578125" style="136" customWidth="1"/>
    <col min="4337" max="4337" width="11.28515625" style="136" customWidth="1"/>
    <col min="4338" max="4338" width="12.42578125" style="136" customWidth="1"/>
    <col min="4339" max="4339" width="11.28515625" style="136" customWidth="1"/>
    <col min="4340" max="4340" width="12.42578125" style="136" customWidth="1"/>
    <col min="4341" max="4341" width="11.28515625" style="136" customWidth="1"/>
    <col min="4342" max="4342" width="12.42578125" style="136" customWidth="1"/>
    <col min="4343" max="4343" width="11.28515625" style="136" customWidth="1"/>
    <col min="4344" max="4344" width="12.42578125" style="136" customWidth="1"/>
    <col min="4345" max="4345" width="11.28515625" style="136" customWidth="1"/>
    <col min="4346" max="4346" width="14.140625" style="136" customWidth="1"/>
    <col min="4347" max="4347" width="10.28515625" style="136" customWidth="1"/>
    <col min="4348" max="4348" width="17.140625" style="136" customWidth="1"/>
    <col min="4349" max="4349" width="12" style="136" customWidth="1"/>
    <col min="4350" max="4350" width="14.140625" style="136" customWidth="1"/>
    <col min="4351" max="4351" width="10.28515625" style="136" customWidth="1"/>
    <col min="4352" max="4352" width="17.140625" style="136" customWidth="1"/>
    <col min="4353" max="4353" width="12" style="136" customWidth="1"/>
    <col min="4354" max="4354" width="10.7109375" style="136" customWidth="1"/>
    <col min="4355" max="4357" width="0" style="136" hidden="1" customWidth="1"/>
    <col min="4358" max="4585" width="9.140625" style="136"/>
    <col min="4586" max="4586" width="5.140625" style="136" customWidth="1"/>
    <col min="4587" max="4587" width="32.42578125" style="136" customWidth="1"/>
    <col min="4588" max="4590" width="10.28515625" style="136" customWidth="1"/>
    <col min="4591" max="4592" width="12.42578125" style="136" customWidth="1"/>
    <col min="4593" max="4593" width="11.28515625" style="136" customWidth="1"/>
    <col min="4594" max="4594" width="12.42578125" style="136" customWidth="1"/>
    <col min="4595" max="4595" width="11.28515625" style="136" customWidth="1"/>
    <col min="4596" max="4596" width="12.42578125" style="136" customWidth="1"/>
    <col min="4597" max="4597" width="11.28515625" style="136" customWidth="1"/>
    <col min="4598" max="4598" width="12.42578125" style="136" customWidth="1"/>
    <col min="4599" max="4599" width="11.28515625" style="136" customWidth="1"/>
    <col min="4600" max="4600" width="12.42578125" style="136" customWidth="1"/>
    <col min="4601" max="4601" width="11.28515625" style="136" customWidth="1"/>
    <col min="4602" max="4602" width="14.140625" style="136" customWidth="1"/>
    <col min="4603" max="4603" width="10.28515625" style="136" customWidth="1"/>
    <col min="4604" max="4604" width="17.140625" style="136" customWidth="1"/>
    <col min="4605" max="4605" width="12" style="136" customWidth="1"/>
    <col min="4606" max="4606" width="14.140625" style="136" customWidth="1"/>
    <col min="4607" max="4607" width="10.28515625" style="136" customWidth="1"/>
    <col min="4608" max="4608" width="17.140625" style="136" customWidth="1"/>
    <col min="4609" max="4609" width="12" style="136" customWidth="1"/>
    <col min="4610" max="4610" width="10.7109375" style="136" customWidth="1"/>
    <col min="4611" max="4613" width="0" style="136" hidden="1" customWidth="1"/>
    <col min="4614" max="4841" width="9.140625" style="136"/>
    <col min="4842" max="4842" width="5.140625" style="136" customWidth="1"/>
    <col min="4843" max="4843" width="32.42578125" style="136" customWidth="1"/>
    <col min="4844" max="4846" width="10.28515625" style="136" customWidth="1"/>
    <col min="4847" max="4848" width="12.42578125" style="136" customWidth="1"/>
    <col min="4849" max="4849" width="11.28515625" style="136" customWidth="1"/>
    <col min="4850" max="4850" width="12.42578125" style="136" customWidth="1"/>
    <col min="4851" max="4851" width="11.28515625" style="136" customWidth="1"/>
    <col min="4852" max="4852" width="12.42578125" style="136" customWidth="1"/>
    <col min="4853" max="4853" width="11.28515625" style="136" customWidth="1"/>
    <col min="4854" max="4854" width="12.42578125" style="136" customWidth="1"/>
    <col min="4855" max="4855" width="11.28515625" style="136" customWidth="1"/>
    <col min="4856" max="4856" width="12.42578125" style="136" customWidth="1"/>
    <col min="4857" max="4857" width="11.28515625" style="136" customWidth="1"/>
    <col min="4858" max="4858" width="14.140625" style="136" customWidth="1"/>
    <col min="4859" max="4859" width="10.28515625" style="136" customWidth="1"/>
    <col min="4860" max="4860" width="17.140625" style="136" customWidth="1"/>
    <col min="4861" max="4861" width="12" style="136" customWidth="1"/>
    <col min="4862" max="4862" width="14.140625" style="136" customWidth="1"/>
    <col min="4863" max="4863" width="10.28515625" style="136" customWidth="1"/>
    <col min="4864" max="4864" width="17.140625" style="136" customWidth="1"/>
    <col min="4865" max="4865" width="12" style="136" customWidth="1"/>
    <col min="4866" max="4866" width="10.7109375" style="136" customWidth="1"/>
    <col min="4867" max="4869" width="0" style="136" hidden="1" customWidth="1"/>
    <col min="4870" max="5097" width="9.140625" style="136"/>
    <col min="5098" max="5098" width="5.140625" style="136" customWidth="1"/>
    <col min="5099" max="5099" width="32.42578125" style="136" customWidth="1"/>
    <col min="5100" max="5102" width="10.28515625" style="136" customWidth="1"/>
    <col min="5103" max="5104" width="12.42578125" style="136" customWidth="1"/>
    <col min="5105" max="5105" width="11.28515625" style="136" customWidth="1"/>
    <col min="5106" max="5106" width="12.42578125" style="136" customWidth="1"/>
    <col min="5107" max="5107" width="11.28515625" style="136" customWidth="1"/>
    <col min="5108" max="5108" width="12.42578125" style="136" customWidth="1"/>
    <col min="5109" max="5109" width="11.28515625" style="136" customWidth="1"/>
    <col min="5110" max="5110" width="12.42578125" style="136" customWidth="1"/>
    <col min="5111" max="5111" width="11.28515625" style="136" customWidth="1"/>
    <col min="5112" max="5112" width="12.42578125" style="136" customWidth="1"/>
    <col min="5113" max="5113" width="11.28515625" style="136" customWidth="1"/>
    <col min="5114" max="5114" width="14.140625" style="136" customWidth="1"/>
    <col min="5115" max="5115" width="10.28515625" style="136" customWidth="1"/>
    <col min="5116" max="5116" width="17.140625" style="136" customWidth="1"/>
    <col min="5117" max="5117" width="12" style="136" customWidth="1"/>
    <col min="5118" max="5118" width="14.140625" style="136" customWidth="1"/>
    <col min="5119" max="5119" width="10.28515625" style="136" customWidth="1"/>
    <col min="5120" max="5120" width="17.140625" style="136" customWidth="1"/>
    <col min="5121" max="5121" width="12" style="136" customWidth="1"/>
    <col min="5122" max="5122" width="10.7109375" style="136" customWidth="1"/>
    <col min="5123" max="5125" width="0" style="136" hidden="1" customWidth="1"/>
    <col min="5126" max="5353" width="9.140625" style="136"/>
    <col min="5354" max="5354" width="5.140625" style="136" customWidth="1"/>
    <col min="5355" max="5355" width="32.42578125" style="136" customWidth="1"/>
    <col min="5356" max="5358" width="10.28515625" style="136" customWidth="1"/>
    <col min="5359" max="5360" width="12.42578125" style="136" customWidth="1"/>
    <col min="5361" max="5361" width="11.28515625" style="136" customWidth="1"/>
    <col min="5362" max="5362" width="12.42578125" style="136" customWidth="1"/>
    <col min="5363" max="5363" width="11.28515625" style="136" customWidth="1"/>
    <col min="5364" max="5364" width="12.42578125" style="136" customWidth="1"/>
    <col min="5365" max="5365" width="11.28515625" style="136" customWidth="1"/>
    <col min="5366" max="5366" width="12.42578125" style="136" customWidth="1"/>
    <col min="5367" max="5367" width="11.28515625" style="136" customWidth="1"/>
    <col min="5368" max="5368" width="12.42578125" style="136" customWidth="1"/>
    <col min="5369" max="5369" width="11.28515625" style="136" customWidth="1"/>
    <col min="5370" max="5370" width="14.140625" style="136" customWidth="1"/>
    <col min="5371" max="5371" width="10.28515625" style="136" customWidth="1"/>
    <col min="5372" max="5372" width="17.140625" style="136" customWidth="1"/>
    <col min="5373" max="5373" width="12" style="136" customWidth="1"/>
    <col min="5374" max="5374" width="14.140625" style="136" customWidth="1"/>
    <col min="5375" max="5375" width="10.28515625" style="136" customWidth="1"/>
    <col min="5376" max="5376" width="17.140625" style="136" customWidth="1"/>
    <col min="5377" max="5377" width="12" style="136" customWidth="1"/>
    <col min="5378" max="5378" width="10.7109375" style="136" customWidth="1"/>
    <col min="5379" max="5381" width="0" style="136" hidden="1" customWidth="1"/>
    <col min="5382" max="5609" width="9.140625" style="136"/>
    <col min="5610" max="5610" width="5.140625" style="136" customWidth="1"/>
    <col min="5611" max="5611" width="32.42578125" style="136" customWidth="1"/>
    <col min="5612" max="5614" width="10.28515625" style="136" customWidth="1"/>
    <col min="5615" max="5616" width="12.42578125" style="136" customWidth="1"/>
    <col min="5617" max="5617" width="11.28515625" style="136" customWidth="1"/>
    <col min="5618" max="5618" width="12.42578125" style="136" customWidth="1"/>
    <col min="5619" max="5619" width="11.28515625" style="136" customWidth="1"/>
    <col min="5620" max="5620" width="12.42578125" style="136" customWidth="1"/>
    <col min="5621" max="5621" width="11.28515625" style="136" customWidth="1"/>
    <col min="5622" max="5622" width="12.42578125" style="136" customWidth="1"/>
    <col min="5623" max="5623" width="11.28515625" style="136" customWidth="1"/>
    <col min="5624" max="5624" width="12.42578125" style="136" customWidth="1"/>
    <col min="5625" max="5625" width="11.28515625" style="136" customWidth="1"/>
    <col min="5626" max="5626" width="14.140625" style="136" customWidth="1"/>
    <col min="5627" max="5627" width="10.28515625" style="136" customWidth="1"/>
    <col min="5628" max="5628" width="17.140625" style="136" customWidth="1"/>
    <col min="5629" max="5629" width="12" style="136" customWidth="1"/>
    <col min="5630" max="5630" width="14.140625" style="136" customWidth="1"/>
    <col min="5631" max="5631" width="10.28515625" style="136" customWidth="1"/>
    <col min="5632" max="5632" width="17.140625" style="136" customWidth="1"/>
    <col min="5633" max="5633" width="12" style="136" customWidth="1"/>
    <col min="5634" max="5634" width="10.7109375" style="136" customWidth="1"/>
    <col min="5635" max="5637" width="0" style="136" hidden="1" customWidth="1"/>
    <col min="5638" max="5865" width="9.140625" style="136"/>
    <col min="5866" max="5866" width="5.140625" style="136" customWidth="1"/>
    <col min="5867" max="5867" width="32.42578125" style="136" customWidth="1"/>
    <col min="5868" max="5870" width="10.28515625" style="136" customWidth="1"/>
    <col min="5871" max="5872" width="12.42578125" style="136" customWidth="1"/>
    <col min="5873" max="5873" width="11.28515625" style="136" customWidth="1"/>
    <col min="5874" max="5874" width="12.42578125" style="136" customWidth="1"/>
    <col min="5875" max="5875" width="11.28515625" style="136" customWidth="1"/>
    <col min="5876" max="5876" width="12.42578125" style="136" customWidth="1"/>
    <col min="5877" max="5877" width="11.28515625" style="136" customWidth="1"/>
    <col min="5878" max="5878" width="12.42578125" style="136" customWidth="1"/>
    <col min="5879" max="5879" width="11.28515625" style="136" customWidth="1"/>
    <col min="5880" max="5880" width="12.42578125" style="136" customWidth="1"/>
    <col min="5881" max="5881" width="11.28515625" style="136" customWidth="1"/>
    <col min="5882" max="5882" width="14.140625" style="136" customWidth="1"/>
    <col min="5883" max="5883" width="10.28515625" style="136" customWidth="1"/>
    <col min="5884" max="5884" width="17.140625" style="136" customWidth="1"/>
    <col min="5885" max="5885" width="12" style="136" customWidth="1"/>
    <col min="5886" max="5886" width="14.140625" style="136" customWidth="1"/>
    <col min="5887" max="5887" width="10.28515625" style="136" customWidth="1"/>
    <col min="5888" max="5888" width="17.140625" style="136" customWidth="1"/>
    <col min="5889" max="5889" width="12" style="136" customWidth="1"/>
    <col min="5890" max="5890" width="10.7109375" style="136" customWidth="1"/>
    <col min="5891" max="5893" width="0" style="136" hidden="1" customWidth="1"/>
    <col min="5894" max="6121" width="9.140625" style="136"/>
    <col min="6122" max="6122" width="5.140625" style="136" customWidth="1"/>
    <col min="6123" max="6123" width="32.42578125" style="136" customWidth="1"/>
    <col min="6124" max="6126" width="10.28515625" style="136" customWidth="1"/>
    <col min="6127" max="6128" width="12.42578125" style="136" customWidth="1"/>
    <col min="6129" max="6129" width="11.28515625" style="136" customWidth="1"/>
    <col min="6130" max="6130" width="12.42578125" style="136" customWidth="1"/>
    <col min="6131" max="6131" width="11.28515625" style="136" customWidth="1"/>
    <col min="6132" max="6132" width="12.42578125" style="136" customWidth="1"/>
    <col min="6133" max="6133" width="11.28515625" style="136" customWidth="1"/>
    <col min="6134" max="6134" width="12.42578125" style="136" customWidth="1"/>
    <col min="6135" max="6135" width="11.28515625" style="136" customWidth="1"/>
    <col min="6136" max="6136" width="12.42578125" style="136" customWidth="1"/>
    <col min="6137" max="6137" width="11.28515625" style="136" customWidth="1"/>
    <col min="6138" max="6138" width="14.140625" style="136" customWidth="1"/>
    <col min="6139" max="6139" width="10.28515625" style="136" customWidth="1"/>
    <col min="6140" max="6140" width="17.140625" style="136" customWidth="1"/>
    <col min="6141" max="6141" width="12" style="136" customWidth="1"/>
    <col min="6142" max="6142" width="14.140625" style="136" customWidth="1"/>
    <col min="6143" max="6143" width="10.28515625" style="136" customWidth="1"/>
    <col min="6144" max="6144" width="17.140625" style="136" customWidth="1"/>
    <col min="6145" max="6145" width="12" style="136" customWidth="1"/>
    <col min="6146" max="6146" width="10.7109375" style="136" customWidth="1"/>
    <col min="6147" max="6149" width="0" style="136" hidden="1" customWidth="1"/>
    <col min="6150" max="6377" width="9.140625" style="136"/>
    <col min="6378" max="6378" width="5.140625" style="136" customWidth="1"/>
    <col min="6379" max="6379" width="32.42578125" style="136" customWidth="1"/>
    <col min="6380" max="6382" width="10.28515625" style="136" customWidth="1"/>
    <col min="6383" max="6384" width="12.42578125" style="136" customWidth="1"/>
    <col min="6385" max="6385" width="11.28515625" style="136" customWidth="1"/>
    <col min="6386" max="6386" width="12.42578125" style="136" customWidth="1"/>
    <col min="6387" max="6387" width="11.28515625" style="136" customWidth="1"/>
    <col min="6388" max="6388" width="12.42578125" style="136" customWidth="1"/>
    <col min="6389" max="6389" width="11.28515625" style="136" customWidth="1"/>
    <col min="6390" max="6390" width="12.42578125" style="136" customWidth="1"/>
    <col min="6391" max="6391" width="11.28515625" style="136" customWidth="1"/>
    <col min="6392" max="6392" width="12.42578125" style="136" customWidth="1"/>
    <col min="6393" max="6393" width="11.28515625" style="136" customWidth="1"/>
    <col min="6394" max="6394" width="14.140625" style="136" customWidth="1"/>
    <col min="6395" max="6395" width="10.28515625" style="136" customWidth="1"/>
    <col min="6396" max="6396" width="17.140625" style="136" customWidth="1"/>
    <col min="6397" max="6397" width="12" style="136" customWidth="1"/>
    <col min="6398" max="6398" width="14.140625" style="136" customWidth="1"/>
    <col min="6399" max="6399" width="10.28515625" style="136" customWidth="1"/>
    <col min="6400" max="6400" width="17.140625" style="136" customWidth="1"/>
    <col min="6401" max="6401" width="12" style="136" customWidth="1"/>
    <col min="6402" max="6402" width="10.7109375" style="136" customWidth="1"/>
    <col min="6403" max="6405" width="0" style="136" hidden="1" customWidth="1"/>
    <col min="6406" max="6633" width="9.140625" style="136"/>
    <col min="6634" max="6634" width="5.140625" style="136" customWidth="1"/>
    <col min="6635" max="6635" width="32.42578125" style="136" customWidth="1"/>
    <col min="6636" max="6638" width="10.28515625" style="136" customWidth="1"/>
    <col min="6639" max="6640" width="12.42578125" style="136" customWidth="1"/>
    <col min="6641" max="6641" width="11.28515625" style="136" customWidth="1"/>
    <col min="6642" max="6642" width="12.42578125" style="136" customWidth="1"/>
    <col min="6643" max="6643" width="11.28515625" style="136" customWidth="1"/>
    <col min="6644" max="6644" width="12.42578125" style="136" customWidth="1"/>
    <col min="6645" max="6645" width="11.28515625" style="136" customWidth="1"/>
    <col min="6646" max="6646" width="12.42578125" style="136" customWidth="1"/>
    <col min="6647" max="6647" width="11.28515625" style="136" customWidth="1"/>
    <col min="6648" max="6648" width="12.42578125" style="136" customWidth="1"/>
    <col min="6649" max="6649" width="11.28515625" style="136" customWidth="1"/>
    <col min="6650" max="6650" width="14.140625" style="136" customWidth="1"/>
    <col min="6651" max="6651" width="10.28515625" style="136" customWidth="1"/>
    <col min="6652" max="6652" width="17.140625" style="136" customWidth="1"/>
    <col min="6653" max="6653" width="12" style="136" customWidth="1"/>
    <col min="6654" max="6654" width="14.140625" style="136" customWidth="1"/>
    <col min="6655" max="6655" width="10.28515625" style="136" customWidth="1"/>
    <col min="6656" max="6656" width="17.140625" style="136" customWidth="1"/>
    <col min="6657" max="6657" width="12" style="136" customWidth="1"/>
    <col min="6658" max="6658" width="10.7109375" style="136" customWidth="1"/>
    <col min="6659" max="6661" width="0" style="136" hidden="1" customWidth="1"/>
    <col min="6662" max="6889" width="9.140625" style="136"/>
    <col min="6890" max="6890" width="5.140625" style="136" customWidth="1"/>
    <col min="6891" max="6891" width="32.42578125" style="136" customWidth="1"/>
    <col min="6892" max="6894" width="10.28515625" style="136" customWidth="1"/>
    <col min="6895" max="6896" width="12.42578125" style="136" customWidth="1"/>
    <col min="6897" max="6897" width="11.28515625" style="136" customWidth="1"/>
    <col min="6898" max="6898" width="12.42578125" style="136" customWidth="1"/>
    <col min="6899" max="6899" width="11.28515625" style="136" customWidth="1"/>
    <col min="6900" max="6900" width="12.42578125" style="136" customWidth="1"/>
    <col min="6901" max="6901" width="11.28515625" style="136" customWidth="1"/>
    <col min="6902" max="6902" width="12.42578125" style="136" customWidth="1"/>
    <col min="6903" max="6903" width="11.28515625" style="136" customWidth="1"/>
    <col min="6904" max="6904" width="12.42578125" style="136" customWidth="1"/>
    <col min="6905" max="6905" width="11.28515625" style="136" customWidth="1"/>
    <col min="6906" max="6906" width="14.140625" style="136" customWidth="1"/>
    <col min="6907" max="6907" width="10.28515625" style="136" customWidth="1"/>
    <col min="6908" max="6908" width="17.140625" style="136" customWidth="1"/>
    <col min="6909" max="6909" width="12" style="136" customWidth="1"/>
    <col min="6910" max="6910" width="14.140625" style="136" customWidth="1"/>
    <col min="6911" max="6911" width="10.28515625" style="136" customWidth="1"/>
    <col min="6912" max="6912" width="17.140625" style="136" customWidth="1"/>
    <col min="6913" max="6913" width="12" style="136" customWidth="1"/>
    <col min="6914" max="6914" width="10.7109375" style="136" customWidth="1"/>
    <col min="6915" max="6917" width="0" style="136" hidden="1" customWidth="1"/>
    <col min="6918" max="7145" width="9.140625" style="136"/>
    <col min="7146" max="7146" width="5.140625" style="136" customWidth="1"/>
    <col min="7147" max="7147" width="32.42578125" style="136" customWidth="1"/>
    <col min="7148" max="7150" width="10.28515625" style="136" customWidth="1"/>
    <col min="7151" max="7152" width="12.42578125" style="136" customWidth="1"/>
    <col min="7153" max="7153" width="11.28515625" style="136" customWidth="1"/>
    <col min="7154" max="7154" width="12.42578125" style="136" customWidth="1"/>
    <col min="7155" max="7155" width="11.28515625" style="136" customWidth="1"/>
    <col min="7156" max="7156" width="12.42578125" style="136" customWidth="1"/>
    <col min="7157" max="7157" width="11.28515625" style="136" customWidth="1"/>
    <col min="7158" max="7158" width="12.42578125" style="136" customWidth="1"/>
    <col min="7159" max="7159" width="11.28515625" style="136" customWidth="1"/>
    <col min="7160" max="7160" width="12.42578125" style="136" customWidth="1"/>
    <col min="7161" max="7161" width="11.28515625" style="136" customWidth="1"/>
    <col min="7162" max="7162" width="14.140625" style="136" customWidth="1"/>
    <col min="7163" max="7163" width="10.28515625" style="136" customWidth="1"/>
    <col min="7164" max="7164" width="17.140625" style="136" customWidth="1"/>
    <col min="7165" max="7165" width="12" style="136" customWidth="1"/>
    <col min="7166" max="7166" width="14.140625" style="136" customWidth="1"/>
    <col min="7167" max="7167" width="10.28515625" style="136" customWidth="1"/>
    <col min="7168" max="7168" width="17.140625" style="136" customWidth="1"/>
    <col min="7169" max="7169" width="12" style="136" customWidth="1"/>
    <col min="7170" max="7170" width="10.7109375" style="136" customWidth="1"/>
    <col min="7171" max="7173" width="0" style="136" hidden="1" customWidth="1"/>
    <col min="7174" max="7401" width="9.140625" style="136"/>
    <col min="7402" max="7402" width="5.140625" style="136" customWidth="1"/>
    <col min="7403" max="7403" width="32.42578125" style="136" customWidth="1"/>
    <col min="7404" max="7406" width="10.28515625" style="136" customWidth="1"/>
    <col min="7407" max="7408" width="12.42578125" style="136" customWidth="1"/>
    <col min="7409" max="7409" width="11.28515625" style="136" customWidth="1"/>
    <col min="7410" max="7410" width="12.42578125" style="136" customWidth="1"/>
    <col min="7411" max="7411" width="11.28515625" style="136" customWidth="1"/>
    <col min="7412" max="7412" width="12.42578125" style="136" customWidth="1"/>
    <col min="7413" max="7413" width="11.28515625" style="136" customWidth="1"/>
    <col min="7414" max="7414" width="12.42578125" style="136" customWidth="1"/>
    <col min="7415" max="7415" width="11.28515625" style="136" customWidth="1"/>
    <col min="7416" max="7416" width="12.42578125" style="136" customWidth="1"/>
    <col min="7417" max="7417" width="11.28515625" style="136" customWidth="1"/>
    <col min="7418" max="7418" width="14.140625" style="136" customWidth="1"/>
    <col min="7419" max="7419" width="10.28515625" style="136" customWidth="1"/>
    <col min="7420" max="7420" width="17.140625" style="136" customWidth="1"/>
    <col min="7421" max="7421" width="12" style="136" customWidth="1"/>
    <col min="7422" max="7422" width="14.140625" style="136" customWidth="1"/>
    <col min="7423" max="7423" width="10.28515625" style="136" customWidth="1"/>
    <col min="7424" max="7424" width="17.140625" style="136" customWidth="1"/>
    <col min="7425" max="7425" width="12" style="136" customWidth="1"/>
    <col min="7426" max="7426" width="10.7109375" style="136" customWidth="1"/>
    <col min="7427" max="7429" width="0" style="136" hidden="1" customWidth="1"/>
    <col min="7430" max="7657" width="9.140625" style="136"/>
    <col min="7658" max="7658" width="5.140625" style="136" customWidth="1"/>
    <col min="7659" max="7659" width="32.42578125" style="136" customWidth="1"/>
    <col min="7660" max="7662" width="10.28515625" style="136" customWidth="1"/>
    <col min="7663" max="7664" width="12.42578125" style="136" customWidth="1"/>
    <col min="7665" max="7665" width="11.28515625" style="136" customWidth="1"/>
    <col min="7666" max="7666" width="12.42578125" style="136" customWidth="1"/>
    <col min="7667" max="7667" width="11.28515625" style="136" customWidth="1"/>
    <col min="7668" max="7668" width="12.42578125" style="136" customWidth="1"/>
    <col min="7669" max="7669" width="11.28515625" style="136" customWidth="1"/>
    <col min="7670" max="7670" width="12.42578125" style="136" customWidth="1"/>
    <col min="7671" max="7671" width="11.28515625" style="136" customWidth="1"/>
    <col min="7672" max="7672" width="12.42578125" style="136" customWidth="1"/>
    <col min="7673" max="7673" width="11.28515625" style="136" customWidth="1"/>
    <col min="7674" max="7674" width="14.140625" style="136" customWidth="1"/>
    <col min="7675" max="7675" width="10.28515625" style="136" customWidth="1"/>
    <col min="7676" max="7676" width="17.140625" style="136" customWidth="1"/>
    <col min="7677" max="7677" width="12" style="136" customWidth="1"/>
    <col min="7678" max="7678" width="14.140625" style="136" customWidth="1"/>
    <col min="7679" max="7679" width="10.28515625" style="136" customWidth="1"/>
    <col min="7680" max="7680" width="17.140625" style="136" customWidth="1"/>
    <col min="7681" max="7681" width="12" style="136" customWidth="1"/>
    <col min="7682" max="7682" width="10.7109375" style="136" customWidth="1"/>
    <col min="7683" max="7685" width="0" style="136" hidden="1" customWidth="1"/>
    <col min="7686" max="7913" width="9.140625" style="136"/>
    <col min="7914" max="7914" width="5.140625" style="136" customWidth="1"/>
    <col min="7915" max="7915" width="32.42578125" style="136" customWidth="1"/>
    <col min="7916" max="7918" width="10.28515625" style="136" customWidth="1"/>
    <col min="7919" max="7920" width="12.42578125" style="136" customWidth="1"/>
    <col min="7921" max="7921" width="11.28515625" style="136" customWidth="1"/>
    <col min="7922" max="7922" width="12.42578125" style="136" customWidth="1"/>
    <col min="7923" max="7923" width="11.28515625" style="136" customWidth="1"/>
    <col min="7924" max="7924" width="12.42578125" style="136" customWidth="1"/>
    <col min="7925" max="7925" width="11.28515625" style="136" customWidth="1"/>
    <col min="7926" max="7926" width="12.42578125" style="136" customWidth="1"/>
    <col min="7927" max="7927" width="11.28515625" style="136" customWidth="1"/>
    <col min="7928" max="7928" width="12.42578125" style="136" customWidth="1"/>
    <col min="7929" max="7929" width="11.28515625" style="136" customWidth="1"/>
    <col min="7930" max="7930" width="14.140625" style="136" customWidth="1"/>
    <col min="7931" max="7931" width="10.28515625" style="136" customWidth="1"/>
    <col min="7932" max="7932" width="17.140625" style="136" customWidth="1"/>
    <col min="7933" max="7933" width="12" style="136" customWidth="1"/>
    <col min="7934" max="7934" width="14.140625" style="136" customWidth="1"/>
    <col min="7935" max="7935" width="10.28515625" style="136" customWidth="1"/>
    <col min="7936" max="7936" width="17.140625" style="136" customWidth="1"/>
    <col min="7937" max="7937" width="12" style="136" customWidth="1"/>
    <col min="7938" max="7938" width="10.7109375" style="136" customWidth="1"/>
    <col min="7939" max="7941" width="0" style="136" hidden="1" customWidth="1"/>
    <col min="7942" max="8169" width="9.140625" style="136"/>
    <col min="8170" max="8170" width="5.140625" style="136" customWidth="1"/>
    <col min="8171" max="8171" width="32.42578125" style="136" customWidth="1"/>
    <col min="8172" max="8174" width="10.28515625" style="136" customWidth="1"/>
    <col min="8175" max="8176" width="12.42578125" style="136" customWidth="1"/>
    <col min="8177" max="8177" width="11.28515625" style="136" customWidth="1"/>
    <col min="8178" max="8178" width="12.42578125" style="136" customWidth="1"/>
    <col min="8179" max="8179" width="11.28515625" style="136" customWidth="1"/>
    <col min="8180" max="8180" width="12.42578125" style="136" customWidth="1"/>
    <col min="8181" max="8181" width="11.28515625" style="136" customWidth="1"/>
    <col min="8182" max="8182" width="12.42578125" style="136" customWidth="1"/>
    <col min="8183" max="8183" width="11.28515625" style="136" customWidth="1"/>
    <col min="8184" max="8184" width="12.42578125" style="136" customWidth="1"/>
    <col min="8185" max="8185" width="11.28515625" style="136" customWidth="1"/>
    <col min="8186" max="8186" width="14.140625" style="136" customWidth="1"/>
    <col min="8187" max="8187" width="10.28515625" style="136" customWidth="1"/>
    <col min="8188" max="8188" width="17.140625" style="136" customWidth="1"/>
    <col min="8189" max="8189" width="12" style="136" customWidth="1"/>
    <col min="8190" max="8190" width="14.140625" style="136" customWidth="1"/>
    <col min="8191" max="8191" width="10.28515625" style="136" customWidth="1"/>
    <col min="8192" max="8192" width="17.140625" style="136" customWidth="1"/>
    <col min="8193" max="8193" width="12" style="136" customWidth="1"/>
    <col min="8194" max="8194" width="10.7109375" style="136" customWidth="1"/>
    <col min="8195" max="8197" width="0" style="136" hidden="1" customWidth="1"/>
    <col min="8198" max="8425" width="9.140625" style="136"/>
    <col min="8426" max="8426" width="5.140625" style="136" customWidth="1"/>
    <col min="8427" max="8427" width="32.42578125" style="136" customWidth="1"/>
    <col min="8428" max="8430" width="10.28515625" style="136" customWidth="1"/>
    <col min="8431" max="8432" width="12.42578125" style="136" customWidth="1"/>
    <col min="8433" max="8433" width="11.28515625" style="136" customWidth="1"/>
    <col min="8434" max="8434" width="12.42578125" style="136" customWidth="1"/>
    <col min="8435" max="8435" width="11.28515625" style="136" customWidth="1"/>
    <col min="8436" max="8436" width="12.42578125" style="136" customWidth="1"/>
    <col min="8437" max="8437" width="11.28515625" style="136" customWidth="1"/>
    <col min="8438" max="8438" width="12.42578125" style="136" customWidth="1"/>
    <col min="8439" max="8439" width="11.28515625" style="136" customWidth="1"/>
    <col min="8440" max="8440" width="12.42578125" style="136" customWidth="1"/>
    <col min="8441" max="8441" width="11.28515625" style="136" customWidth="1"/>
    <col min="8442" max="8442" width="14.140625" style="136" customWidth="1"/>
    <col min="8443" max="8443" width="10.28515625" style="136" customWidth="1"/>
    <col min="8444" max="8444" width="17.140625" style="136" customWidth="1"/>
    <col min="8445" max="8445" width="12" style="136" customWidth="1"/>
    <col min="8446" max="8446" width="14.140625" style="136" customWidth="1"/>
    <col min="8447" max="8447" width="10.28515625" style="136" customWidth="1"/>
    <col min="8448" max="8448" width="17.140625" style="136" customWidth="1"/>
    <col min="8449" max="8449" width="12" style="136" customWidth="1"/>
    <col min="8450" max="8450" width="10.7109375" style="136" customWidth="1"/>
    <col min="8451" max="8453" width="0" style="136" hidden="1" customWidth="1"/>
    <col min="8454" max="8681" width="9.140625" style="136"/>
    <col min="8682" max="8682" width="5.140625" style="136" customWidth="1"/>
    <col min="8683" max="8683" width="32.42578125" style="136" customWidth="1"/>
    <col min="8684" max="8686" width="10.28515625" style="136" customWidth="1"/>
    <col min="8687" max="8688" width="12.42578125" style="136" customWidth="1"/>
    <col min="8689" max="8689" width="11.28515625" style="136" customWidth="1"/>
    <col min="8690" max="8690" width="12.42578125" style="136" customWidth="1"/>
    <col min="8691" max="8691" width="11.28515625" style="136" customWidth="1"/>
    <col min="8692" max="8692" width="12.42578125" style="136" customWidth="1"/>
    <col min="8693" max="8693" width="11.28515625" style="136" customWidth="1"/>
    <col min="8694" max="8694" width="12.42578125" style="136" customWidth="1"/>
    <col min="8695" max="8695" width="11.28515625" style="136" customWidth="1"/>
    <col min="8696" max="8696" width="12.42578125" style="136" customWidth="1"/>
    <col min="8697" max="8697" width="11.28515625" style="136" customWidth="1"/>
    <col min="8698" max="8698" width="14.140625" style="136" customWidth="1"/>
    <col min="8699" max="8699" width="10.28515625" style="136" customWidth="1"/>
    <col min="8700" max="8700" width="17.140625" style="136" customWidth="1"/>
    <col min="8701" max="8701" width="12" style="136" customWidth="1"/>
    <col min="8702" max="8702" width="14.140625" style="136" customWidth="1"/>
    <col min="8703" max="8703" width="10.28515625" style="136" customWidth="1"/>
    <col min="8704" max="8704" width="17.140625" style="136" customWidth="1"/>
    <col min="8705" max="8705" width="12" style="136" customWidth="1"/>
    <col min="8706" max="8706" width="10.7109375" style="136" customWidth="1"/>
    <col min="8707" max="8709" width="0" style="136" hidden="1" customWidth="1"/>
    <col min="8710" max="8937" width="9.140625" style="136"/>
    <col min="8938" max="8938" width="5.140625" style="136" customWidth="1"/>
    <col min="8939" max="8939" width="32.42578125" style="136" customWidth="1"/>
    <col min="8940" max="8942" width="10.28515625" style="136" customWidth="1"/>
    <col min="8943" max="8944" width="12.42578125" style="136" customWidth="1"/>
    <col min="8945" max="8945" width="11.28515625" style="136" customWidth="1"/>
    <col min="8946" max="8946" width="12.42578125" style="136" customWidth="1"/>
    <col min="8947" max="8947" width="11.28515625" style="136" customWidth="1"/>
    <col min="8948" max="8948" width="12.42578125" style="136" customWidth="1"/>
    <col min="8949" max="8949" width="11.28515625" style="136" customWidth="1"/>
    <col min="8950" max="8950" width="12.42578125" style="136" customWidth="1"/>
    <col min="8951" max="8951" width="11.28515625" style="136" customWidth="1"/>
    <col min="8952" max="8952" width="12.42578125" style="136" customWidth="1"/>
    <col min="8953" max="8953" width="11.28515625" style="136" customWidth="1"/>
    <col min="8954" max="8954" width="14.140625" style="136" customWidth="1"/>
    <col min="8955" max="8955" width="10.28515625" style="136" customWidth="1"/>
    <col min="8956" max="8956" width="17.140625" style="136" customWidth="1"/>
    <col min="8957" max="8957" width="12" style="136" customWidth="1"/>
    <col min="8958" max="8958" width="14.140625" style="136" customWidth="1"/>
    <col min="8959" max="8959" width="10.28515625" style="136" customWidth="1"/>
    <col min="8960" max="8960" width="17.140625" style="136" customWidth="1"/>
    <col min="8961" max="8961" width="12" style="136" customWidth="1"/>
    <col min="8962" max="8962" width="10.7109375" style="136" customWidth="1"/>
    <col min="8963" max="8965" width="0" style="136" hidden="1" customWidth="1"/>
    <col min="8966" max="9193" width="9.140625" style="136"/>
    <col min="9194" max="9194" width="5.140625" style="136" customWidth="1"/>
    <col min="9195" max="9195" width="32.42578125" style="136" customWidth="1"/>
    <col min="9196" max="9198" width="10.28515625" style="136" customWidth="1"/>
    <col min="9199" max="9200" width="12.42578125" style="136" customWidth="1"/>
    <col min="9201" max="9201" width="11.28515625" style="136" customWidth="1"/>
    <col min="9202" max="9202" width="12.42578125" style="136" customWidth="1"/>
    <col min="9203" max="9203" width="11.28515625" style="136" customWidth="1"/>
    <col min="9204" max="9204" width="12.42578125" style="136" customWidth="1"/>
    <col min="9205" max="9205" width="11.28515625" style="136" customWidth="1"/>
    <col min="9206" max="9206" width="12.42578125" style="136" customWidth="1"/>
    <col min="9207" max="9207" width="11.28515625" style="136" customWidth="1"/>
    <col min="9208" max="9208" width="12.42578125" style="136" customWidth="1"/>
    <col min="9209" max="9209" width="11.28515625" style="136" customWidth="1"/>
    <col min="9210" max="9210" width="14.140625" style="136" customWidth="1"/>
    <col min="9211" max="9211" width="10.28515625" style="136" customWidth="1"/>
    <col min="9212" max="9212" width="17.140625" style="136" customWidth="1"/>
    <col min="9213" max="9213" width="12" style="136" customWidth="1"/>
    <col min="9214" max="9214" width="14.140625" style="136" customWidth="1"/>
    <col min="9215" max="9215" width="10.28515625" style="136" customWidth="1"/>
    <col min="9216" max="9216" width="17.140625" style="136" customWidth="1"/>
    <col min="9217" max="9217" width="12" style="136" customWidth="1"/>
    <col min="9218" max="9218" width="10.7109375" style="136" customWidth="1"/>
    <col min="9219" max="9221" width="0" style="136" hidden="1" customWidth="1"/>
    <col min="9222" max="9449" width="9.140625" style="136"/>
    <col min="9450" max="9450" width="5.140625" style="136" customWidth="1"/>
    <col min="9451" max="9451" width="32.42578125" style="136" customWidth="1"/>
    <col min="9452" max="9454" width="10.28515625" style="136" customWidth="1"/>
    <col min="9455" max="9456" width="12.42578125" style="136" customWidth="1"/>
    <col min="9457" max="9457" width="11.28515625" style="136" customWidth="1"/>
    <col min="9458" max="9458" width="12.42578125" style="136" customWidth="1"/>
    <col min="9459" max="9459" width="11.28515625" style="136" customWidth="1"/>
    <col min="9460" max="9460" width="12.42578125" style="136" customWidth="1"/>
    <col min="9461" max="9461" width="11.28515625" style="136" customWidth="1"/>
    <col min="9462" max="9462" width="12.42578125" style="136" customWidth="1"/>
    <col min="9463" max="9463" width="11.28515625" style="136" customWidth="1"/>
    <col min="9464" max="9464" width="12.42578125" style="136" customWidth="1"/>
    <col min="9465" max="9465" width="11.28515625" style="136" customWidth="1"/>
    <col min="9466" max="9466" width="14.140625" style="136" customWidth="1"/>
    <col min="9467" max="9467" width="10.28515625" style="136" customWidth="1"/>
    <col min="9468" max="9468" width="17.140625" style="136" customWidth="1"/>
    <col min="9469" max="9469" width="12" style="136" customWidth="1"/>
    <col min="9470" max="9470" width="14.140625" style="136" customWidth="1"/>
    <col min="9471" max="9471" width="10.28515625" style="136" customWidth="1"/>
    <col min="9472" max="9472" width="17.140625" style="136" customWidth="1"/>
    <col min="9473" max="9473" width="12" style="136" customWidth="1"/>
    <col min="9474" max="9474" width="10.7109375" style="136" customWidth="1"/>
    <col min="9475" max="9477" width="0" style="136" hidden="1" customWidth="1"/>
    <col min="9478" max="9705" width="9.140625" style="136"/>
    <col min="9706" max="9706" width="5.140625" style="136" customWidth="1"/>
    <col min="9707" max="9707" width="32.42578125" style="136" customWidth="1"/>
    <col min="9708" max="9710" width="10.28515625" style="136" customWidth="1"/>
    <col min="9711" max="9712" width="12.42578125" style="136" customWidth="1"/>
    <col min="9713" max="9713" width="11.28515625" style="136" customWidth="1"/>
    <col min="9714" max="9714" width="12.42578125" style="136" customWidth="1"/>
    <col min="9715" max="9715" width="11.28515625" style="136" customWidth="1"/>
    <col min="9716" max="9716" width="12.42578125" style="136" customWidth="1"/>
    <col min="9717" max="9717" width="11.28515625" style="136" customWidth="1"/>
    <col min="9718" max="9718" width="12.42578125" style="136" customWidth="1"/>
    <col min="9719" max="9719" width="11.28515625" style="136" customWidth="1"/>
    <col min="9720" max="9720" width="12.42578125" style="136" customWidth="1"/>
    <col min="9721" max="9721" width="11.28515625" style="136" customWidth="1"/>
    <col min="9722" max="9722" width="14.140625" style="136" customWidth="1"/>
    <col min="9723" max="9723" width="10.28515625" style="136" customWidth="1"/>
    <col min="9724" max="9724" width="17.140625" style="136" customWidth="1"/>
    <col min="9725" max="9725" width="12" style="136" customWidth="1"/>
    <col min="9726" max="9726" width="14.140625" style="136" customWidth="1"/>
    <col min="9727" max="9727" width="10.28515625" style="136" customWidth="1"/>
    <col min="9728" max="9728" width="17.140625" style="136" customWidth="1"/>
    <col min="9729" max="9729" width="12" style="136" customWidth="1"/>
    <col min="9730" max="9730" width="10.7109375" style="136" customWidth="1"/>
    <col min="9731" max="9733" width="0" style="136" hidden="1" customWidth="1"/>
    <col min="9734" max="9961" width="9.140625" style="136"/>
    <col min="9962" max="9962" width="5.140625" style="136" customWidth="1"/>
    <col min="9963" max="9963" width="32.42578125" style="136" customWidth="1"/>
    <col min="9964" max="9966" width="10.28515625" style="136" customWidth="1"/>
    <col min="9967" max="9968" width="12.42578125" style="136" customWidth="1"/>
    <col min="9969" max="9969" width="11.28515625" style="136" customWidth="1"/>
    <col min="9970" max="9970" width="12.42578125" style="136" customWidth="1"/>
    <col min="9971" max="9971" width="11.28515625" style="136" customWidth="1"/>
    <col min="9972" max="9972" width="12.42578125" style="136" customWidth="1"/>
    <col min="9973" max="9973" width="11.28515625" style="136" customWidth="1"/>
    <col min="9974" max="9974" width="12.42578125" style="136" customWidth="1"/>
    <col min="9975" max="9975" width="11.28515625" style="136" customWidth="1"/>
    <col min="9976" max="9976" width="12.42578125" style="136" customWidth="1"/>
    <col min="9977" max="9977" width="11.28515625" style="136" customWidth="1"/>
    <col min="9978" max="9978" width="14.140625" style="136" customWidth="1"/>
    <col min="9979" max="9979" width="10.28515625" style="136" customWidth="1"/>
    <col min="9980" max="9980" width="17.140625" style="136" customWidth="1"/>
    <col min="9981" max="9981" width="12" style="136" customWidth="1"/>
    <col min="9982" max="9982" width="14.140625" style="136" customWidth="1"/>
    <col min="9983" max="9983" width="10.28515625" style="136" customWidth="1"/>
    <col min="9984" max="9984" width="17.140625" style="136" customWidth="1"/>
    <col min="9985" max="9985" width="12" style="136" customWidth="1"/>
    <col min="9986" max="9986" width="10.7109375" style="136" customWidth="1"/>
    <col min="9987" max="9989" width="0" style="136" hidden="1" customWidth="1"/>
    <col min="9990" max="10217" width="9.140625" style="136"/>
    <col min="10218" max="10218" width="5.140625" style="136" customWidth="1"/>
    <col min="10219" max="10219" width="32.42578125" style="136" customWidth="1"/>
    <col min="10220" max="10222" width="10.28515625" style="136" customWidth="1"/>
    <col min="10223" max="10224" width="12.42578125" style="136" customWidth="1"/>
    <col min="10225" max="10225" width="11.28515625" style="136" customWidth="1"/>
    <col min="10226" max="10226" width="12.42578125" style="136" customWidth="1"/>
    <col min="10227" max="10227" width="11.28515625" style="136" customWidth="1"/>
    <col min="10228" max="10228" width="12.42578125" style="136" customWidth="1"/>
    <col min="10229" max="10229" width="11.28515625" style="136" customWidth="1"/>
    <col min="10230" max="10230" width="12.42578125" style="136" customWidth="1"/>
    <col min="10231" max="10231" width="11.28515625" style="136" customWidth="1"/>
    <col min="10232" max="10232" width="12.42578125" style="136" customWidth="1"/>
    <col min="10233" max="10233" width="11.28515625" style="136" customWidth="1"/>
    <col min="10234" max="10234" width="14.140625" style="136" customWidth="1"/>
    <col min="10235" max="10235" width="10.28515625" style="136" customWidth="1"/>
    <col min="10236" max="10236" width="17.140625" style="136" customWidth="1"/>
    <col min="10237" max="10237" width="12" style="136" customWidth="1"/>
    <col min="10238" max="10238" width="14.140625" style="136" customWidth="1"/>
    <col min="10239" max="10239" width="10.28515625" style="136" customWidth="1"/>
    <col min="10240" max="10240" width="17.140625" style="136" customWidth="1"/>
    <col min="10241" max="10241" width="12" style="136" customWidth="1"/>
    <col min="10242" max="10242" width="10.7109375" style="136" customWidth="1"/>
    <col min="10243" max="10245" width="0" style="136" hidden="1" customWidth="1"/>
    <col min="10246" max="10473" width="9.140625" style="136"/>
    <col min="10474" max="10474" width="5.140625" style="136" customWidth="1"/>
    <col min="10475" max="10475" width="32.42578125" style="136" customWidth="1"/>
    <col min="10476" max="10478" width="10.28515625" style="136" customWidth="1"/>
    <col min="10479" max="10480" width="12.42578125" style="136" customWidth="1"/>
    <col min="10481" max="10481" width="11.28515625" style="136" customWidth="1"/>
    <col min="10482" max="10482" width="12.42578125" style="136" customWidth="1"/>
    <col min="10483" max="10483" width="11.28515625" style="136" customWidth="1"/>
    <col min="10484" max="10484" width="12.42578125" style="136" customWidth="1"/>
    <col min="10485" max="10485" width="11.28515625" style="136" customWidth="1"/>
    <col min="10486" max="10486" width="12.42578125" style="136" customWidth="1"/>
    <col min="10487" max="10487" width="11.28515625" style="136" customWidth="1"/>
    <col min="10488" max="10488" width="12.42578125" style="136" customWidth="1"/>
    <col min="10489" max="10489" width="11.28515625" style="136" customWidth="1"/>
    <col min="10490" max="10490" width="14.140625" style="136" customWidth="1"/>
    <col min="10491" max="10491" width="10.28515625" style="136" customWidth="1"/>
    <col min="10492" max="10492" width="17.140625" style="136" customWidth="1"/>
    <col min="10493" max="10493" width="12" style="136" customWidth="1"/>
    <col min="10494" max="10494" width="14.140625" style="136" customWidth="1"/>
    <col min="10495" max="10495" width="10.28515625" style="136" customWidth="1"/>
    <col min="10496" max="10496" width="17.140625" style="136" customWidth="1"/>
    <col min="10497" max="10497" width="12" style="136" customWidth="1"/>
    <col min="10498" max="10498" width="10.7109375" style="136" customWidth="1"/>
    <col min="10499" max="10501" width="0" style="136" hidden="1" customWidth="1"/>
    <col min="10502" max="10729" width="9.140625" style="136"/>
    <col min="10730" max="10730" width="5.140625" style="136" customWidth="1"/>
    <col min="10731" max="10731" width="32.42578125" style="136" customWidth="1"/>
    <col min="10732" max="10734" width="10.28515625" style="136" customWidth="1"/>
    <col min="10735" max="10736" width="12.42578125" style="136" customWidth="1"/>
    <col min="10737" max="10737" width="11.28515625" style="136" customWidth="1"/>
    <col min="10738" max="10738" width="12.42578125" style="136" customWidth="1"/>
    <col min="10739" max="10739" width="11.28515625" style="136" customWidth="1"/>
    <col min="10740" max="10740" width="12.42578125" style="136" customWidth="1"/>
    <col min="10741" max="10741" width="11.28515625" style="136" customWidth="1"/>
    <col min="10742" max="10742" width="12.42578125" style="136" customWidth="1"/>
    <col min="10743" max="10743" width="11.28515625" style="136" customWidth="1"/>
    <col min="10744" max="10744" width="12.42578125" style="136" customWidth="1"/>
    <col min="10745" max="10745" width="11.28515625" style="136" customWidth="1"/>
    <col min="10746" max="10746" width="14.140625" style="136" customWidth="1"/>
    <col min="10747" max="10747" width="10.28515625" style="136" customWidth="1"/>
    <col min="10748" max="10748" width="17.140625" style="136" customWidth="1"/>
    <col min="10749" max="10749" width="12" style="136" customWidth="1"/>
    <col min="10750" max="10750" width="14.140625" style="136" customWidth="1"/>
    <col min="10751" max="10751" width="10.28515625" style="136" customWidth="1"/>
    <col min="10752" max="10752" width="17.140625" style="136" customWidth="1"/>
    <col min="10753" max="10753" width="12" style="136" customWidth="1"/>
    <col min="10754" max="10754" width="10.7109375" style="136" customWidth="1"/>
    <col min="10755" max="10757" width="0" style="136" hidden="1" customWidth="1"/>
    <col min="10758" max="10985" width="9.140625" style="136"/>
    <col min="10986" max="10986" width="5.140625" style="136" customWidth="1"/>
    <col min="10987" max="10987" width="32.42578125" style="136" customWidth="1"/>
    <col min="10988" max="10990" width="10.28515625" style="136" customWidth="1"/>
    <col min="10991" max="10992" width="12.42578125" style="136" customWidth="1"/>
    <col min="10993" max="10993" width="11.28515625" style="136" customWidth="1"/>
    <col min="10994" max="10994" width="12.42578125" style="136" customWidth="1"/>
    <col min="10995" max="10995" width="11.28515625" style="136" customWidth="1"/>
    <col min="10996" max="10996" width="12.42578125" style="136" customWidth="1"/>
    <col min="10997" max="10997" width="11.28515625" style="136" customWidth="1"/>
    <col min="10998" max="10998" width="12.42578125" style="136" customWidth="1"/>
    <col min="10999" max="10999" width="11.28515625" style="136" customWidth="1"/>
    <col min="11000" max="11000" width="12.42578125" style="136" customWidth="1"/>
    <col min="11001" max="11001" width="11.28515625" style="136" customWidth="1"/>
    <col min="11002" max="11002" width="14.140625" style="136" customWidth="1"/>
    <col min="11003" max="11003" width="10.28515625" style="136" customWidth="1"/>
    <col min="11004" max="11004" width="17.140625" style="136" customWidth="1"/>
    <col min="11005" max="11005" width="12" style="136" customWidth="1"/>
    <col min="11006" max="11006" width="14.140625" style="136" customWidth="1"/>
    <col min="11007" max="11007" width="10.28515625" style="136" customWidth="1"/>
    <col min="11008" max="11008" width="17.140625" style="136" customWidth="1"/>
    <col min="11009" max="11009" width="12" style="136" customWidth="1"/>
    <col min="11010" max="11010" width="10.7109375" style="136" customWidth="1"/>
    <col min="11011" max="11013" width="0" style="136" hidden="1" customWidth="1"/>
    <col min="11014" max="11241" width="9.140625" style="136"/>
    <col min="11242" max="11242" width="5.140625" style="136" customWidth="1"/>
    <col min="11243" max="11243" width="32.42578125" style="136" customWidth="1"/>
    <col min="11244" max="11246" width="10.28515625" style="136" customWidth="1"/>
    <col min="11247" max="11248" width="12.42578125" style="136" customWidth="1"/>
    <col min="11249" max="11249" width="11.28515625" style="136" customWidth="1"/>
    <col min="11250" max="11250" width="12.42578125" style="136" customWidth="1"/>
    <col min="11251" max="11251" width="11.28515625" style="136" customWidth="1"/>
    <col min="11252" max="11252" width="12.42578125" style="136" customWidth="1"/>
    <col min="11253" max="11253" width="11.28515625" style="136" customWidth="1"/>
    <col min="11254" max="11254" width="12.42578125" style="136" customWidth="1"/>
    <col min="11255" max="11255" width="11.28515625" style="136" customWidth="1"/>
    <col min="11256" max="11256" width="12.42578125" style="136" customWidth="1"/>
    <col min="11257" max="11257" width="11.28515625" style="136" customWidth="1"/>
    <col min="11258" max="11258" width="14.140625" style="136" customWidth="1"/>
    <col min="11259" max="11259" width="10.28515625" style="136" customWidth="1"/>
    <col min="11260" max="11260" width="17.140625" style="136" customWidth="1"/>
    <col min="11261" max="11261" width="12" style="136" customWidth="1"/>
    <col min="11262" max="11262" width="14.140625" style="136" customWidth="1"/>
    <col min="11263" max="11263" width="10.28515625" style="136" customWidth="1"/>
    <col min="11264" max="11264" width="17.140625" style="136" customWidth="1"/>
    <col min="11265" max="11265" width="12" style="136" customWidth="1"/>
    <col min="11266" max="11266" width="10.7109375" style="136" customWidth="1"/>
    <col min="11267" max="11269" width="0" style="136" hidden="1" customWidth="1"/>
    <col min="11270" max="11497" width="9.140625" style="136"/>
    <col min="11498" max="11498" width="5.140625" style="136" customWidth="1"/>
    <col min="11499" max="11499" width="32.42578125" style="136" customWidth="1"/>
    <col min="11500" max="11502" width="10.28515625" style="136" customWidth="1"/>
    <col min="11503" max="11504" width="12.42578125" style="136" customWidth="1"/>
    <col min="11505" max="11505" width="11.28515625" style="136" customWidth="1"/>
    <col min="11506" max="11506" width="12.42578125" style="136" customWidth="1"/>
    <col min="11507" max="11507" width="11.28515625" style="136" customWidth="1"/>
    <col min="11508" max="11508" width="12.42578125" style="136" customWidth="1"/>
    <col min="11509" max="11509" width="11.28515625" style="136" customWidth="1"/>
    <col min="11510" max="11510" width="12.42578125" style="136" customWidth="1"/>
    <col min="11511" max="11511" width="11.28515625" style="136" customWidth="1"/>
    <col min="11512" max="11512" width="12.42578125" style="136" customWidth="1"/>
    <col min="11513" max="11513" width="11.28515625" style="136" customWidth="1"/>
    <col min="11514" max="11514" width="14.140625" style="136" customWidth="1"/>
    <col min="11515" max="11515" width="10.28515625" style="136" customWidth="1"/>
    <col min="11516" max="11516" width="17.140625" style="136" customWidth="1"/>
    <col min="11517" max="11517" width="12" style="136" customWidth="1"/>
    <col min="11518" max="11518" width="14.140625" style="136" customWidth="1"/>
    <col min="11519" max="11519" width="10.28515625" style="136" customWidth="1"/>
    <col min="11520" max="11520" width="17.140625" style="136" customWidth="1"/>
    <col min="11521" max="11521" width="12" style="136" customWidth="1"/>
    <col min="11522" max="11522" width="10.7109375" style="136" customWidth="1"/>
    <col min="11523" max="11525" width="0" style="136" hidden="1" customWidth="1"/>
    <col min="11526" max="11753" width="9.140625" style="136"/>
    <col min="11754" max="11754" width="5.140625" style="136" customWidth="1"/>
    <col min="11755" max="11755" width="32.42578125" style="136" customWidth="1"/>
    <col min="11756" max="11758" width="10.28515625" style="136" customWidth="1"/>
    <col min="11759" max="11760" width="12.42578125" style="136" customWidth="1"/>
    <col min="11761" max="11761" width="11.28515625" style="136" customWidth="1"/>
    <col min="11762" max="11762" width="12.42578125" style="136" customWidth="1"/>
    <col min="11763" max="11763" width="11.28515625" style="136" customWidth="1"/>
    <col min="11764" max="11764" width="12.42578125" style="136" customWidth="1"/>
    <col min="11765" max="11765" width="11.28515625" style="136" customWidth="1"/>
    <col min="11766" max="11766" width="12.42578125" style="136" customWidth="1"/>
    <col min="11767" max="11767" width="11.28515625" style="136" customWidth="1"/>
    <col min="11768" max="11768" width="12.42578125" style="136" customWidth="1"/>
    <col min="11769" max="11769" width="11.28515625" style="136" customWidth="1"/>
    <col min="11770" max="11770" width="14.140625" style="136" customWidth="1"/>
    <col min="11771" max="11771" width="10.28515625" style="136" customWidth="1"/>
    <col min="11772" max="11772" width="17.140625" style="136" customWidth="1"/>
    <col min="11773" max="11773" width="12" style="136" customWidth="1"/>
    <col min="11774" max="11774" width="14.140625" style="136" customWidth="1"/>
    <col min="11775" max="11775" width="10.28515625" style="136" customWidth="1"/>
    <col min="11776" max="11776" width="17.140625" style="136" customWidth="1"/>
    <col min="11777" max="11777" width="12" style="136" customWidth="1"/>
    <col min="11778" max="11778" width="10.7109375" style="136" customWidth="1"/>
    <col min="11779" max="11781" width="0" style="136" hidden="1" customWidth="1"/>
    <col min="11782" max="12009" width="9.140625" style="136"/>
    <col min="12010" max="12010" width="5.140625" style="136" customWidth="1"/>
    <col min="12011" max="12011" width="32.42578125" style="136" customWidth="1"/>
    <col min="12012" max="12014" width="10.28515625" style="136" customWidth="1"/>
    <col min="12015" max="12016" width="12.42578125" style="136" customWidth="1"/>
    <col min="12017" max="12017" width="11.28515625" style="136" customWidth="1"/>
    <col min="12018" max="12018" width="12.42578125" style="136" customWidth="1"/>
    <col min="12019" max="12019" width="11.28515625" style="136" customWidth="1"/>
    <col min="12020" max="12020" width="12.42578125" style="136" customWidth="1"/>
    <col min="12021" max="12021" width="11.28515625" style="136" customWidth="1"/>
    <col min="12022" max="12022" width="12.42578125" style="136" customWidth="1"/>
    <col min="12023" max="12023" width="11.28515625" style="136" customWidth="1"/>
    <col min="12024" max="12024" width="12.42578125" style="136" customWidth="1"/>
    <col min="12025" max="12025" width="11.28515625" style="136" customWidth="1"/>
    <col min="12026" max="12026" width="14.140625" style="136" customWidth="1"/>
    <col min="12027" max="12027" width="10.28515625" style="136" customWidth="1"/>
    <col min="12028" max="12028" width="17.140625" style="136" customWidth="1"/>
    <col min="12029" max="12029" width="12" style="136" customWidth="1"/>
    <col min="12030" max="12030" width="14.140625" style="136" customWidth="1"/>
    <col min="12031" max="12031" width="10.28515625" style="136" customWidth="1"/>
    <col min="12032" max="12032" width="17.140625" style="136" customWidth="1"/>
    <col min="12033" max="12033" width="12" style="136" customWidth="1"/>
    <col min="12034" max="12034" width="10.7109375" style="136" customWidth="1"/>
    <col min="12035" max="12037" width="0" style="136" hidden="1" customWidth="1"/>
    <col min="12038" max="12265" width="9.140625" style="136"/>
    <col min="12266" max="12266" width="5.140625" style="136" customWidth="1"/>
    <col min="12267" max="12267" width="32.42578125" style="136" customWidth="1"/>
    <col min="12268" max="12270" width="10.28515625" style="136" customWidth="1"/>
    <col min="12271" max="12272" width="12.42578125" style="136" customWidth="1"/>
    <col min="12273" max="12273" width="11.28515625" style="136" customWidth="1"/>
    <col min="12274" max="12274" width="12.42578125" style="136" customWidth="1"/>
    <col min="12275" max="12275" width="11.28515625" style="136" customWidth="1"/>
    <col min="12276" max="12276" width="12.42578125" style="136" customWidth="1"/>
    <col min="12277" max="12277" width="11.28515625" style="136" customWidth="1"/>
    <col min="12278" max="12278" width="12.42578125" style="136" customWidth="1"/>
    <col min="12279" max="12279" width="11.28515625" style="136" customWidth="1"/>
    <col min="12280" max="12280" width="12.42578125" style="136" customWidth="1"/>
    <col min="12281" max="12281" width="11.28515625" style="136" customWidth="1"/>
    <col min="12282" max="12282" width="14.140625" style="136" customWidth="1"/>
    <col min="12283" max="12283" width="10.28515625" style="136" customWidth="1"/>
    <col min="12284" max="12284" width="17.140625" style="136" customWidth="1"/>
    <col min="12285" max="12285" width="12" style="136" customWidth="1"/>
    <col min="12286" max="12286" width="14.140625" style="136" customWidth="1"/>
    <col min="12287" max="12287" width="10.28515625" style="136" customWidth="1"/>
    <col min="12288" max="12288" width="17.140625" style="136" customWidth="1"/>
    <col min="12289" max="12289" width="12" style="136" customWidth="1"/>
    <col min="12290" max="12290" width="10.7109375" style="136" customWidth="1"/>
    <col min="12291" max="12293" width="0" style="136" hidden="1" customWidth="1"/>
    <col min="12294" max="12521" width="9.140625" style="136"/>
    <col min="12522" max="12522" width="5.140625" style="136" customWidth="1"/>
    <col min="12523" max="12523" width="32.42578125" style="136" customWidth="1"/>
    <col min="12524" max="12526" width="10.28515625" style="136" customWidth="1"/>
    <col min="12527" max="12528" width="12.42578125" style="136" customWidth="1"/>
    <col min="12529" max="12529" width="11.28515625" style="136" customWidth="1"/>
    <col min="12530" max="12530" width="12.42578125" style="136" customWidth="1"/>
    <col min="12531" max="12531" width="11.28515625" style="136" customWidth="1"/>
    <col min="12532" max="12532" width="12.42578125" style="136" customWidth="1"/>
    <col min="12533" max="12533" width="11.28515625" style="136" customWidth="1"/>
    <col min="12534" max="12534" width="12.42578125" style="136" customWidth="1"/>
    <col min="12535" max="12535" width="11.28515625" style="136" customWidth="1"/>
    <col min="12536" max="12536" width="12.42578125" style="136" customWidth="1"/>
    <col min="12537" max="12537" width="11.28515625" style="136" customWidth="1"/>
    <col min="12538" max="12538" width="14.140625" style="136" customWidth="1"/>
    <col min="12539" max="12539" width="10.28515625" style="136" customWidth="1"/>
    <col min="12540" max="12540" width="17.140625" style="136" customWidth="1"/>
    <col min="12541" max="12541" width="12" style="136" customWidth="1"/>
    <col min="12542" max="12542" width="14.140625" style="136" customWidth="1"/>
    <col min="12543" max="12543" width="10.28515625" style="136" customWidth="1"/>
    <col min="12544" max="12544" width="17.140625" style="136" customWidth="1"/>
    <col min="12545" max="12545" width="12" style="136" customWidth="1"/>
    <col min="12546" max="12546" width="10.7109375" style="136" customWidth="1"/>
    <col min="12547" max="12549" width="0" style="136" hidden="1" customWidth="1"/>
    <col min="12550" max="12777" width="9.140625" style="136"/>
    <col min="12778" max="12778" width="5.140625" style="136" customWidth="1"/>
    <col min="12779" max="12779" width="32.42578125" style="136" customWidth="1"/>
    <col min="12780" max="12782" width="10.28515625" style="136" customWidth="1"/>
    <col min="12783" max="12784" width="12.42578125" style="136" customWidth="1"/>
    <col min="12785" max="12785" width="11.28515625" style="136" customWidth="1"/>
    <col min="12786" max="12786" width="12.42578125" style="136" customWidth="1"/>
    <col min="12787" max="12787" width="11.28515625" style="136" customWidth="1"/>
    <col min="12788" max="12788" width="12.42578125" style="136" customWidth="1"/>
    <col min="12789" max="12789" width="11.28515625" style="136" customWidth="1"/>
    <col min="12790" max="12790" width="12.42578125" style="136" customWidth="1"/>
    <col min="12791" max="12791" width="11.28515625" style="136" customWidth="1"/>
    <col min="12792" max="12792" width="12.42578125" style="136" customWidth="1"/>
    <col min="12793" max="12793" width="11.28515625" style="136" customWidth="1"/>
    <col min="12794" max="12794" width="14.140625" style="136" customWidth="1"/>
    <col min="12795" max="12795" width="10.28515625" style="136" customWidth="1"/>
    <col min="12796" max="12796" width="17.140625" style="136" customWidth="1"/>
    <col min="12797" max="12797" width="12" style="136" customWidth="1"/>
    <col min="12798" max="12798" width="14.140625" style="136" customWidth="1"/>
    <col min="12799" max="12799" width="10.28515625" style="136" customWidth="1"/>
    <col min="12800" max="12800" width="17.140625" style="136" customWidth="1"/>
    <col min="12801" max="12801" width="12" style="136" customWidth="1"/>
    <col min="12802" max="12802" width="10.7109375" style="136" customWidth="1"/>
    <col min="12803" max="12805" width="0" style="136" hidden="1" customWidth="1"/>
    <col min="12806" max="13033" width="9.140625" style="136"/>
    <col min="13034" max="13034" width="5.140625" style="136" customWidth="1"/>
    <col min="13035" max="13035" width="32.42578125" style="136" customWidth="1"/>
    <col min="13036" max="13038" width="10.28515625" style="136" customWidth="1"/>
    <col min="13039" max="13040" width="12.42578125" style="136" customWidth="1"/>
    <col min="13041" max="13041" width="11.28515625" style="136" customWidth="1"/>
    <col min="13042" max="13042" width="12.42578125" style="136" customWidth="1"/>
    <col min="13043" max="13043" width="11.28515625" style="136" customWidth="1"/>
    <col min="13044" max="13044" width="12.42578125" style="136" customWidth="1"/>
    <col min="13045" max="13045" width="11.28515625" style="136" customWidth="1"/>
    <col min="13046" max="13046" width="12.42578125" style="136" customWidth="1"/>
    <col min="13047" max="13047" width="11.28515625" style="136" customWidth="1"/>
    <col min="13048" max="13048" width="12.42578125" style="136" customWidth="1"/>
    <col min="13049" max="13049" width="11.28515625" style="136" customWidth="1"/>
    <col min="13050" max="13050" width="14.140625" style="136" customWidth="1"/>
    <col min="13051" max="13051" width="10.28515625" style="136" customWidth="1"/>
    <col min="13052" max="13052" width="17.140625" style="136" customWidth="1"/>
    <col min="13053" max="13053" width="12" style="136" customWidth="1"/>
    <col min="13054" max="13054" width="14.140625" style="136" customWidth="1"/>
    <col min="13055" max="13055" width="10.28515625" style="136" customWidth="1"/>
    <col min="13056" max="13056" width="17.140625" style="136" customWidth="1"/>
    <col min="13057" max="13057" width="12" style="136" customWidth="1"/>
    <col min="13058" max="13058" width="10.7109375" style="136" customWidth="1"/>
    <col min="13059" max="13061" width="0" style="136" hidden="1" customWidth="1"/>
    <col min="13062" max="13289" width="9.140625" style="136"/>
    <col min="13290" max="13290" width="5.140625" style="136" customWidth="1"/>
    <col min="13291" max="13291" width="32.42578125" style="136" customWidth="1"/>
    <col min="13292" max="13294" width="10.28515625" style="136" customWidth="1"/>
    <col min="13295" max="13296" width="12.42578125" style="136" customWidth="1"/>
    <col min="13297" max="13297" width="11.28515625" style="136" customWidth="1"/>
    <col min="13298" max="13298" width="12.42578125" style="136" customWidth="1"/>
    <col min="13299" max="13299" width="11.28515625" style="136" customWidth="1"/>
    <col min="13300" max="13300" width="12.42578125" style="136" customWidth="1"/>
    <col min="13301" max="13301" width="11.28515625" style="136" customWidth="1"/>
    <col min="13302" max="13302" width="12.42578125" style="136" customWidth="1"/>
    <col min="13303" max="13303" width="11.28515625" style="136" customWidth="1"/>
    <col min="13304" max="13304" width="12.42578125" style="136" customWidth="1"/>
    <col min="13305" max="13305" width="11.28515625" style="136" customWidth="1"/>
    <col min="13306" max="13306" width="14.140625" style="136" customWidth="1"/>
    <col min="13307" max="13307" width="10.28515625" style="136" customWidth="1"/>
    <col min="13308" max="13308" width="17.140625" style="136" customWidth="1"/>
    <col min="13309" max="13309" width="12" style="136" customWidth="1"/>
    <col min="13310" max="13310" width="14.140625" style="136" customWidth="1"/>
    <col min="13311" max="13311" width="10.28515625" style="136" customWidth="1"/>
    <col min="13312" max="13312" width="17.140625" style="136" customWidth="1"/>
    <col min="13313" max="13313" width="12" style="136" customWidth="1"/>
    <col min="13314" max="13314" width="10.7109375" style="136" customWidth="1"/>
    <col min="13315" max="13317" width="0" style="136" hidden="1" customWidth="1"/>
    <col min="13318" max="13545" width="9.140625" style="136"/>
    <col min="13546" max="13546" width="5.140625" style="136" customWidth="1"/>
    <col min="13547" max="13547" width="32.42578125" style="136" customWidth="1"/>
    <col min="13548" max="13550" width="10.28515625" style="136" customWidth="1"/>
    <col min="13551" max="13552" width="12.42578125" style="136" customWidth="1"/>
    <col min="13553" max="13553" width="11.28515625" style="136" customWidth="1"/>
    <col min="13554" max="13554" width="12.42578125" style="136" customWidth="1"/>
    <col min="13555" max="13555" width="11.28515625" style="136" customWidth="1"/>
    <col min="13556" max="13556" width="12.42578125" style="136" customWidth="1"/>
    <col min="13557" max="13557" width="11.28515625" style="136" customWidth="1"/>
    <col min="13558" max="13558" width="12.42578125" style="136" customWidth="1"/>
    <col min="13559" max="13559" width="11.28515625" style="136" customWidth="1"/>
    <col min="13560" max="13560" width="12.42578125" style="136" customWidth="1"/>
    <col min="13561" max="13561" width="11.28515625" style="136" customWidth="1"/>
    <col min="13562" max="13562" width="14.140625" style="136" customWidth="1"/>
    <col min="13563" max="13563" width="10.28515625" style="136" customWidth="1"/>
    <col min="13564" max="13564" width="17.140625" style="136" customWidth="1"/>
    <col min="13565" max="13565" width="12" style="136" customWidth="1"/>
    <col min="13566" max="13566" width="14.140625" style="136" customWidth="1"/>
    <col min="13567" max="13567" width="10.28515625" style="136" customWidth="1"/>
    <col min="13568" max="13568" width="17.140625" style="136" customWidth="1"/>
    <col min="13569" max="13569" width="12" style="136" customWidth="1"/>
    <col min="13570" max="13570" width="10.7109375" style="136" customWidth="1"/>
    <col min="13571" max="13573" width="0" style="136" hidden="1" customWidth="1"/>
    <col min="13574" max="13801" width="9.140625" style="136"/>
    <col min="13802" max="13802" width="5.140625" style="136" customWidth="1"/>
    <col min="13803" max="13803" width="32.42578125" style="136" customWidth="1"/>
    <col min="13804" max="13806" width="10.28515625" style="136" customWidth="1"/>
    <col min="13807" max="13808" width="12.42578125" style="136" customWidth="1"/>
    <col min="13809" max="13809" width="11.28515625" style="136" customWidth="1"/>
    <col min="13810" max="13810" width="12.42578125" style="136" customWidth="1"/>
    <col min="13811" max="13811" width="11.28515625" style="136" customWidth="1"/>
    <col min="13812" max="13812" width="12.42578125" style="136" customWidth="1"/>
    <col min="13813" max="13813" width="11.28515625" style="136" customWidth="1"/>
    <col min="13814" max="13814" width="12.42578125" style="136" customWidth="1"/>
    <col min="13815" max="13815" width="11.28515625" style="136" customWidth="1"/>
    <col min="13816" max="13816" width="12.42578125" style="136" customWidth="1"/>
    <col min="13817" max="13817" width="11.28515625" style="136" customWidth="1"/>
    <col min="13818" max="13818" width="14.140625" style="136" customWidth="1"/>
    <col min="13819" max="13819" width="10.28515625" style="136" customWidth="1"/>
    <col min="13820" max="13820" width="17.140625" style="136" customWidth="1"/>
    <col min="13821" max="13821" width="12" style="136" customWidth="1"/>
    <col min="13822" max="13822" width="14.140625" style="136" customWidth="1"/>
    <col min="13823" max="13823" width="10.28515625" style="136" customWidth="1"/>
    <col min="13824" max="13824" width="17.140625" style="136" customWidth="1"/>
    <col min="13825" max="13825" width="12" style="136" customWidth="1"/>
    <col min="13826" max="13826" width="10.7109375" style="136" customWidth="1"/>
    <col min="13827" max="13829" width="0" style="136" hidden="1" customWidth="1"/>
    <col min="13830" max="14057" width="9.140625" style="136"/>
    <col min="14058" max="14058" width="5.140625" style="136" customWidth="1"/>
    <col min="14059" max="14059" width="32.42578125" style="136" customWidth="1"/>
    <col min="14060" max="14062" width="10.28515625" style="136" customWidth="1"/>
    <col min="14063" max="14064" width="12.42578125" style="136" customWidth="1"/>
    <col min="14065" max="14065" width="11.28515625" style="136" customWidth="1"/>
    <col min="14066" max="14066" width="12.42578125" style="136" customWidth="1"/>
    <col min="14067" max="14067" width="11.28515625" style="136" customWidth="1"/>
    <col min="14068" max="14068" width="12.42578125" style="136" customWidth="1"/>
    <col min="14069" max="14069" width="11.28515625" style="136" customWidth="1"/>
    <col min="14070" max="14070" width="12.42578125" style="136" customWidth="1"/>
    <col min="14071" max="14071" width="11.28515625" style="136" customWidth="1"/>
    <col min="14072" max="14072" width="12.42578125" style="136" customWidth="1"/>
    <col min="14073" max="14073" width="11.28515625" style="136" customWidth="1"/>
    <col min="14074" max="14074" width="14.140625" style="136" customWidth="1"/>
    <col min="14075" max="14075" width="10.28515625" style="136" customWidth="1"/>
    <col min="14076" max="14076" width="17.140625" style="136" customWidth="1"/>
    <col min="14077" max="14077" width="12" style="136" customWidth="1"/>
    <col min="14078" max="14078" width="14.140625" style="136" customWidth="1"/>
    <col min="14079" max="14079" width="10.28515625" style="136" customWidth="1"/>
    <col min="14080" max="14080" width="17.140625" style="136" customWidth="1"/>
    <col min="14081" max="14081" width="12" style="136" customWidth="1"/>
    <col min="14082" max="14082" width="10.7109375" style="136" customWidth="1"/>
    <col min="14083" max="14085" width="0" style="136" hidden="1" customWidth="1"/>
    <col min="14086" max="14313" width="9.140625" style="136"/>
    <col min="14314" max="14314" width="5.140625" style="136" customWidth="1"/>
    <col min="14315" max="14315" width="32.42578125" style="136" customWidth="1"/>
    <col min="14316" max="14318" width="10.28515625" style="136" customWidth="1"/>
    <col min="14319" max="14320" width="12.42578125" style="136" customWidth="1"/>
    <col min="14321" max="14321" width="11.28515625" style="136" customWidth="1"/>
    <col min="14322" max="14322" width="12.42578125" style="136" customWidth="1"/>
    <col min="14323" max="14323" width="11.28515625" style="136" customWidth="1"/>
    <col min="14324" max="14324" width="12.42578125" style="136" customWidth="1"/>
    <col min="14325" max="14325" width="11.28515625" style="136" customWidth="1"/>
    <col min="14326" max="14326" width="12.42578125" style="136" customWidth="1"/>
    <col min="14327" max="14327" width="11.28515625" style="136" customWidth="1"/>
    <col min="14328" max="14328" width="12.42578125" style="136" customWidth="1"/>
    <col min="14329" max="14329" width="11.28515625" style="136" customWidth="1"/>
    <col min="14330" max="14330" width="14.140625" style="136" customWidth="1"/>
    <col min="14331" max="14331" width="10.28515625" style="136" customWidth="1"/>
    <col min="14332" max="14332" width="17.140625" style="136" customWidth="1"/>
    <col min="14333" max="14333" width="12" style="136" customWidth="1"/>
    <col min="14334" max="14334" width="14.140625" style="136" customWidth="1"/>
    <col min="14335" max="14335" width="10.28515625" style="136" customWidth="1"/>
    <col min="14336" max="14336" width="17.140625" style="136" customWidth="1"/>
    <col min="14337" max="14337" width="12" style="136" customWidth="1"/>
    <col min="14338" max="14338" width="10.7109375" style="136" customWidth="1"/>
    <col min="14339" max="14341" width="0" style="136" hidden="1" customWidth="1"/>
    <col min="14342" max="14569" width="9.140625" style="136"/>
    <col min="14570" max="14570" width="5.140625" style="136" customWidth="1"/>
    <col min="14571" max="14571" width="32.42578125" style="136" customWidth="1"/>
    <col min="14572" max="14574" width="10.28515625" style="136" customWidth="1"/>
    <col min="14575" max="14576" width="12.42578125" style="136" customWidth="1"/>
    <col min="14577" max="14577" width="11.28515625" style="136" customWidth="1"/>
    <col min="14578" max="14578" width="12.42578125" style="136" customWidth="1"/>
    <col min="14579" max="14579" width="11.28515625" style="136" customWidth="1"/>
    <col min="14580" max="14580" width="12.42578125" style="136" customWidth="1"/>
    <col min="14581" max="14581" width="11.28515625" style="136" customWidth="1"/>
    <col min="14582" max="14582" width="12.42578125" style="136" customWidth="1"/>
    <col min="14583" max="14583" width="11.28515625" style="136" customWidth="1"/>
    <col min="14584" max="14584" width="12.42578125" style="136" customWidth="1"/>
    <col min="14585" max="14585" width="11.28515625" style="136" customWidth="1"/>
    <col min="14586" max="14586" width="14.140625" style="136" customWidth="1"/>
    <col min="14587" max="14587" width="10.28515625" style="136" customWidth="1"/>
    <col min="14588" max="14588" width="17.140625" style="136" customWidth="1"/>
    <col min="14589" max="14589" width="12" style="136" customWidth="1"/>
    <col min="14590" max="14590" width="14.140625" style="136" customWidth="1"/>
    <col min="14591" max="14591" width="10.28515625" style="136" customWidth="1"/>
    <col min="14592" max="14592" width="17.140625" style="136" customWidth="1"/>
    <col min="14593" max="14593" width="12" style="136" customWidth="1"/>
    <col min="14594" max="14594" width="10.7109375" style="136" customWidth="1"/>
    <col min="14595" max="14597" width="0" style="136" hidden="1" customWidth="1"/>
    <col min="14598" max="14825" width="9.140625" style="136"/>
    <col min="14826" max="14826" width="5.140625" style="136" customWidth="1"/>
    <col min="14827" max="14827" width="32.42578125" style="136" customWidth="1"/>
    <col min="14828" max="14830" width="10.28515625" style="136" customWidth="1"/>
    <col min="14831" max="14832" width="12.42578125" style="136" customWidth="1"/>
    <col min="14833" max="14833" width="11.28515625" style="136" customWidth="1"/>
    <col min="14834" max="14834" width="12.42578125" style="136" customWidth="1"/>
    <col min="14835" max="14835" width="11.28515625" style="136" customWidth="1"/>
    <col min="14836" max="14836" width="12.42578125" style="136" customWidth="1"/>
    <col min="14837" max="14837" width="11.28515625" style="136" customWidth="1"/>
    <col min="14838" max="14838" width="12.42578125" style="136" customWidth="1"/>
    <col min="14839" max="14839" width="11.28515625" style="136" customWidth="1"/>
    <col min="14840" max="14840" width="12.42578125" style="136" customWidth="1"/>
    <col min="14841" max="14841" width="11.28515625" style="136" customWidth="1"/>
    <col min="14842" max="14842" width="14.140625" style="136" customWidth="1"/>
    <col min="14843" max="14843" width="10.28515625" style="136" customWidth="1"/>
    <col min="14844" max="14844" width="17.140625" style="136" customWidth="1"/>
    <col min="14845" max="14845" width="12" style="136" customWidth="1"/>
    <col min="14846" max="14846" width="14.140625" style="136" customWidth="1"/>
    <col min="14847" max="14847" width="10.28515625" style="136" customWidth="1"/>
    <col min="14848" max="14848" width="17.140625" style="136" customWidth="1"/>
    <col min="14849" max="14849" width="12" style="136" customWidth="1"/>
    <col min="14850" max="14850" width="10.7109375" style="136" customWidth="1"/>
    <col min="14851" max="14853" width="0" style="136" hidden="1" customWidth="1"/>
    <col min="14854" max="15081" width="9.140625" style="136"/>
    <col min="15082" max="15082" width="5.140625" style="136" customWidth="1"/>
    <col min="15083" max="15083" width="32.42578125" style="136" customWidth="1"/>
    <col min="15084" max="15086" width="10.28515625" style="136" customWidth="1"/>
    <col min="15087" max="15088" width="12.42578125" style="136" customWidth="1"/>
    <col min="15089" max="15089" width="11.28515625" style="136" customWidth="1"/>
    <col min="15090" max="15090" width="12.42578125" style="136" customWidth="1"/>
    <col min="15091" max="15091" width="11.28515625" style="136" customWidth="1"/>
    <col min="15092" max="15092" width="12.42578125" style="136" customWidth="1"/>
    <col min="15093" max="15093" width="11.28515625" style="136" customWidth="1"/>
    <col min="15094" max="15094" width="12.42578125" style="136" customWidth="1"/>
    <col min="15095" max="15095" width="11.28515625" style="136" customWidth="1"/>
    <col min="15096" max="15096" width="12.42578125" style="136" customWidth="1"/>
    <col min="15097" max="15097" width="11.28515625" style="136" customWidth="1"/>
    <col min="15098" max="15098" width="14.140625" style="136" customWidth="1"/>
    <col min="15099" max="15099" width="10.28515625" style="136" customWidth="1"/>
    <col min="15100" max="15100" width="17.140625" style="136" customWidth="1"/>
    <col min="15101" max="15101" width="12" style="136" customWidth="1"/>
    <col min="15102" max="15102" width="14.140625" style="136" customWidth="1"/>
    <col min="15103" max="15103" width="10.28515625" style="136" customWidth="1"/>
    <col min="15104" max="15104" width="17.140625" style="136" customWidth="1"/>
    <col min="15105" max="15105" width="12" style="136" customWidth="1"/>
    <col min="15106" max="15106" width="10.7109375" style="136" customWidth="1"/>
    <col min="15107" max="15109" width="0" style="136" hidden="1" customWidth="1"/>
    <col min="15110" max="15337" width="9.140625" style="136"/>
    <col min="15338" max="15338" width="5.140625" style="136" customWidth="1"/>
    <col min="15339" max="15339" width="32.42578125" style="136" customWidth="1"/>
    <col min="15340" max="15342" width="10.28515625" style="136" customWidth="1"/>
    <col min="15343" max="15344" width="12.42578125" style="136" customWidth="1"/>
    <col min="15345" max="15345" width="11.28515625" style="136" customWidth="1"/>
    <col min="15346" max="15346" width="12.42578125" style="136" customWidth="1"/>
    <col min="15347" max="15347" width="11.28515625" style="136" customWidth="1"/>
    <col min="15348" max="15348" width="12.42578125" style="136" customWidth="1"/>
    <col min="15349" max="15349" width="11.28515625" style="136" customWidth="1"/>
    <col min="15350" max="15350" width="12.42578125" style="136" customWidth="1"/>
    <col min="15351" max="15351" width="11.28515625" style="136" customWidth="1"/>
    <col min="15352" max="15352" width="12.42578125" style="136" customWidth="1"/>
    <col min="15353" max="15353" width="11.28515625" style="136" customWidth="1"/>
    <col min="15354" max="15354" width="14.140625" style="136" customWidth="1"/>
    <col min="15355" max="15355" width="10.28515625" style="136" customWidth="1"/>
    <col min="15356" max="15356" width="17.140625" style="136" customWidth="1"/>
    <col min="15357" max="15357" width="12" style="136" customWidth="1"/>
    <col min="15358" max="15358" width="14.140625" style="136" customWidth="1"/>
    <col min="15359" max="15359" width="10.28515625" style="136" customWidth="1"/>
    <col min="15360" max="15360" width="17.140625" style="136" customWidth="1"/>
    <col min="15361" max="15361" width="12" style="136" customWidth="1"/>
    <col min="15362" max="15362" width="10.7109375" style="136" customWidth="1"/>
    <col min="15363" max="15365" width="0" style="136" hidden="1" customWidth="1"/>
    <col min="15366" max="15593" width="9.140625" style="136"/>
    <col min="15594" max="15594" width="5.140625" style="136" customWidth="1"/>
    <col min="15595" max="15595" width="32.42578125" style="136" customWidth="1"/>
    <col min="15596" max="15598" width="10.28515625" style="136" customWidth="1"/>
    <col min="15599" max="15600" width="12.42578125" style="136" customWidth="1"/>
    <col min="15601" max="15601" width="11.28515625" style="136" customWidth="1"/>
    <col min="15602" max="15602" width="12.42578125" style="136" customWidth="1"/>
    <col min="15603" max="15603" width="11.28515625" style="136" customWidth="1"/>
    <col min="15604" max="15604" width="12.42578125" style="136" customWidth="1"/>
    <col min="15605" max="15605" width="11.28515625" style="136" customWidth="1"/>
    <col min="15606" max="15606" width="12.42578125" style="136" customWidth="1"/>
    <col min="15607" max="15607" width="11.28515625" style="136" customWidth="1"/>
    <col min="15608" max="15608" width="12.42578125" style="136" customWidth="1"/>
    <col min="15609" max="15609" width="11.28515625" style="136" customWidth="1"/>
    <col min="15610" max="15610" width="14.140625" style="136" customWidth="1"/>
    <col min="15611" max="15611" width="10.28515625" style="136" customWidth="1"/>
    <col min="15612" max="15612" width="17.140625" style="136" customWidth="1"/>
    <col min="15613" max="15613" width="12" style="136" customWidth="1"/>
    <col min="15614" max="15614" width="14.140625" style="136" customWidth="1"/>
    <col min="15615" max="15615" width="10.28515625" style="136" customWidth="1"/>
    <col min="15616" max="15616" width="17.140625" style="136" customWidth="1"/>
    <col min="15617" max="15617" width="12" style="136" customWidth="1"/>
    <col min="15618" max="15618" width="10.7109375" style="136" customWidth="1"/>
    <col min="15619" max="15621" width="0" style="136" hidden="1" customWidth="1"/>
    <col min="15622" max="15849" width="9.140625" style="136"/>
    <col min="15850" max="15850" width="5.140625" style="136" customWidth="1"/>
    <col min="15851" max="15851" width="32.42578125" style="136" customWidth="1"/>
    <col min="15852" max="15854" width="10.28515625" style="136" customWidth="1"/>
    <col min="15855" max="15856" width="12.42578125" style="136" customWidth="1"/>
    <col min="15857" max="15857" width="11.28515625" style="136" customWidth="1"/>
    <col min="15858" max="15858" width="12.42578125" style="136" customWidth="1"/>
    <col min="15859" max="15859" width="11.28515625" style="136" customWidth="1"/>
    <col min="15860" max="15860" width="12.42578125" style="136" customWidth="1"/>
    <col min="15861" max="15861" width="11.28515625" style="136" customWidth="1"/>
    <col min="15862" max="15862" width="12.42578125" style="136" customWidth="1"/>
    <col min="15863" max="15863" width="11.28515625" style="136" customWidth="1"/>
    <col min="15864" max="15864" width="12.42578125" style="136" customWidth="1"/>
    <col min="15865" max="15865" width="11.28515625" style="136" customWidth="1"/>
    <col min="15866" max="15866" width="14.140625" style="136" customWidth="1"/>
    <col min="15867" max="15867" width="10.28515625" style="136" customWidth="1"/>
    <col min="15868" max="15868" width="17.140625" style="136" customWidth="1"/>
    <col min="15869" max="15869" width="12" style="136" customWidth="1"/>
    <col min="15870" max="15870" width="14.140625" style="136" customWidth="1"/>
    <col min="15871" max="15871" width="10.28515625" style="136" customWidth="1"/>
    <col min="15872" max="15872" width="17.140625" style="136" customWidth="1"/>
    <col min="15873" max="15873" width="12" style="136" customWidth="1"/>
    <col min="15874" max="15874" width="10.7109375" style="136" customWidth="1"/>
    <col min="15875" max="15877" width="0" style="136" hidden="1" customWidth="1"/>
    <col min="15878" max="16105" width="9.140625" style="136"/>
    <col min="16106" max="16106" width="5.140625" style="136" customWidth="1"/>
    <col min="16107" max="16107" width="32.42578125" style="136" customWidth="1"/>
    <col min="16108" max="16110" width="10.28515625" style="136" customWidth="1"/>
    <col min="16111" max="16112" width="12.42578125" style="136" customWidth="1"/>
    <col min="16113" max="16113" width="11.28515625" style="136" customWidth="1"/>
    <col min="16114" max="16114" width="12.42578125" style="136" customWidth="1"/>
    <col min="16115" max="16115" width="11.28515625" style="136" customWidth="1"/>
    <col min="16116" max="16116" width="12.42578125" style="136" customWidth="1"/>
    <col min="16117" max="16117" width="11.28515625" style="136" customWidth="1"/>
    <col min="16118" max="16118" width="12.42578125" style="136" customWidth="1"/>
    <col min="16119" max="16119" width="11.28515625" style="136" customWidth="1"/>
    <col min="16120" max="16120" width="12.42578125" style="136" customWidth="1"/>
    <col min="16121" max="16121" width="11.28515625" style="136" customWidth="1"/>
    <col min="16122" max="16122" width="14.140625" style="136" customWidth="1"/>
    <col min="16123" max="16123" width="10.28515625" style="136" customWidth="1"/>
    <col min="16124" max="16124" width="17.140625" style="136" customWidth="1"/>
    <col min="16125" max="16125" width="12" style="136" customWidth="1"/>
    <col min="16126" max="16126" width="14.140625" style="136" customWidth="1"/>
    <col min="16127" max="16127" width="10.28515625" style="136" customWidth="1"/>
    <col min="16128" max="16128" width="17.140625" style="136" customWidth="1"/>
    <col min="16129" max="16129" width="12" style="136" customWidth="1"/>
    <col min="16130" max="16130" width="10.7109375" style="136" customWidth="1"/>
    <col min="16131" max="16133" width="0" style="136" hidden="1" customWidth="1"/>
    <col min="16134" max="16384" width="9.140625" style="136"/>
  </cols>
  <sheetData>
    <row r="1" spans="1:24" ht="18.75" x14ac:dyDescent="0.25">
      <c r="A1" s="249" t="s">
        <v>174</v>
      </c>
      <c r="B1" s="249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52" t="s">
        <v>323</v>
      </c>
      <c r="V1" s="252"/>
      <c r="W1" s="252"/>
      <c r="X1" s="252"/>
    </row>
    <row r="2" spans="1:24" s="140" customFormat="1" ht="18.75" x14ac:dyDescent="0.25">
      <c r="A2" s="249" t="s">
        <v>187</v>
      </c>
      <c r="B2" s="249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  <c r="V2" s="139"/>
      <c r="W2" s="139"/>
      <c r="X2" s="139"/>
    </row>
    <row r="3" spans="1:24" ht="18.75" x14ac:dyDescent="0.25">
      <c r="A3" s="250" t="s">
        <v>218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ht="18.75" x14ac:dyDescent="0.25">
      <c r="A4" s="251" t="s">
        <v>325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24" ht="15.75" x14ac:dyDescent="0.25">
      <c r="A5" s="136"/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248" t="s">
        <v>221</v>
      </c>
      <c r="V5" s="248"/>
      <c r="W5" s="248"/>
      <c r="X5" s="248"/>
    </row>
    <row r="6" spans="1:24" s="143" customFormat="1" ht="16.5" customHeight="1" x14ac:dyDescent="0.25">
      <c r="A6" s="254" t="s">
        <v>162</v>
      </c>
      <c r="B6" s="254" t="s">
        <v>203</v>
      </c>
      <c r="C6" s="254" t="s">
        <v>222</v>
      </c>
      <c r="D6" s="254"/>
      <c r="E6" s="254"/>
      <c r="F6" s="254" t="s">
        <v>223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 t="s">
        <v>224</v>
      </c>
      <c r="V6" s="254"/>
      <c r="W6" s="254"/>
      <c r="X6" s="253" t="s">
        <v>225</v>
      </c>
    </row>
    <row r="7" spans="1:24" s="143" customFormat="1" ht="15.75" customHeight="1" x14ac:dyDescent="0.2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3"/>
    </row>
    <row r="8" spans="1:24" s="143" customFormat="1" ht="19.5" customHeight="1" x14ac:dyDescent="0.25">
      <c r="A8" s="254"/>
      <c r="B8" s="254"/>
      <c r="C8" s="253" t="s">
        <v>79</v>
      </c>
      <c r="D8" s="253" t="s">
        <v>50</v>
      </c>
      <c r="E8" s="253"/>
      <c r="F8" s="254" t="s">
        <v>79</v>
      </c>
      <c r="G8" s="253" t="s">
        <v>50</v>
      </c>
      <c r="H8" s="253"/>
      <c r="I8" s="253" t="s">
        <v>226</v>
      </c>
      <c r="J8" s="253"/>
      <c r="K8" s="253"/>
      <c r="L8" s="253"/>
      <c r="M8" s="253"/>
      <c r="N8" s="253"/>
      <c r="O8" s="253" t="s">
        <v>227</v>
      </c>
      <c r="P8" s="253"/>
      <c r="Q8" s="253"/>
      <c r="R8" s="253"/>
      <c r="S8" s="253"/>
      <c r="T8" s="253"/>
      <c r="U8" s="254" t="s">
        <v>79</v>
      </c>
      <c r="V8" s="253" t="s">
        <v>228</v>
      </c>
      <c r="W8" s="253"/>
      <c r="X8" s="253"/>
    </row>
    <row r="9" spans="1:24" s="143" customFormat="1" ht="23.25" customHeight="1" x14ac:dyDescent="0.25">
      <c r="A9" s="254"/>
      <c r="B9" s="254"/>
      <c r="C9" s="253"/>
      <c r="D9" s="253" t="s">
        <v>229</v>
      </c>
      <c r="E9" s="253" t="s">
        <v>230</v>
      </c>
      <c r="F9" s="254"/>
      <c r="G9" s="253" t="s">
        <v>229</v>
      </c>
      <c r="H9" s="253" t="s">
        <v>230</v>
      </c>
      <c r="I9" s="253" t="s">
        <v>229</v>
      </c>
      <c r="J9" s="253"/>
      <c r="K9" s="253"/>
      <c r="L9" s="253" t="s">
        <v>230</v>
      </c>
      <c r="M9" s="253"/>
      <c r="N9" s="253"/>
      <c r="O9" s="253" t="s">
        <v>229</v>
      </c>
      <c r="P9" s="253"/>
      <c r="Q9" s="253"/>
      <c r="R9" s="253" t="s">
        <v>230</v>
      </c>
      <c r="S9" s="253"/>
      <c r="T9" s="253"/>
      <c r="U9" s="254"/>
      <c r="V9" s="253" t="s">
        <v>229</v>
      </c>
      <c r="W9" s="253" t="s">
        <v>230</v>
      </c>
      <c r="X9" s="253"/>
    </row>
    <row r="10" spans="1:24" s="143" customFormat="1" ht="46.5" customHeight="1" x14ac:dyDescent="0.25">
      <c r="A10" s="254"/>
      <c r="B10" s="254"/>
      <c r="C10" s="253"/>
      <c r="D10" s="253"/>
      <c r="E10" s="253"/>
      <c r="F10" s="254"/>
      <c r="G10" s="253"/>
      <c r="H10" s="253"/>
      <c r="I10" s="144" t="s">
        <v>79</v>
      </c>
      <c r="J10" s="144" t="s">
        <v>231</v>
      </c>
      <c r="K10" s="144" t="s">
        <v>232</v>
      </c>
      <c r="L10" s="144" t="s">
        <v>79</v>
      </c>
      <c r="M10" s="144" t="s">
        <v>231</v>
      </c>
      <c r="N10" s="144" t="s">
        <v>232</v>
      </c>
      <c r="O10" s="144" t="s">
        <v>79</v>
      </c>
      <c r="P10" s="144" t="s">
        <v>231</v>
      </c>
      <c r="Q10" s="144" t="s">
        <v>232</v>
      </c>
      <c r="R10" s="144" t="s">
        <v>79</v>
      </c>
      <c r="S10" s="144" t="s">
        <v>231</v>
      </c>
      <c r="T10" s="144" t="s">
        <v>232</v>
      </c>
      <c r="U10" s="254"/>
      <c r="V10" s="253"/>
      <c r="W10" s="253"/>
      <c r="X10" s="253"/>
    </row>
    <row r="11" spans="1:24" s="146" customFormat="1" ht="26.25" customHeight="1" x14ac:dyDescent="0.25">
      <c r="A11" s="145" t="s">
        <v>2</v>
      </c>
      <c r="B11" s="145" t="s">
        <v>16</v>
      </c>
      <c r="C11" s="145">
        <v>1</v>
      </c>
      <c r="D11" s="145">
        <v>2</v>
      </c>
      <c r="E11" s="145">
        <v>3</v>
      </c>
      <c r="F11" s="145">
        <v>4</v>
      </c>
      <c r="G11" s="145">
        <v>5</v>
      </c>
      <c r="H11" s="145">
        <v>6</v>
      </c>
      <c r="I11" s="145">
        <v>7</v>
      </c>
      <c r="J11" s="145">
        <v>8</v>
      </c>
      <c r="K11" s="145">
        <v>9</v>
      </c>
      <c r="L11" s="145">
        <v>10</v>
      </c>
      <c r="M11" s="145">
        <v>11</v>
      </c>
      <c r="N11" s="145">
        <v>12</v>
      </c>
      <c r="O11" s="145">
        <v>13</v>
      </c>
      <c r="P11" s="145">
        <v>14</v>
      </c>
      <c r="Q11" s="145">
        <v>15</v>
      </c>
      <c r="R11" s="145">
        <v>16</v>
      </c>
      <c r="S11" s="145">
        <v>17</v>
      </c>
      <c r="T11" s="145">
        <v>18</v>
      </c>
      <c r="U11" s="145">
        <v>19</v>
      </c>
      <c r="V11" s="145">
        <v>20</v>
      </c>
      <c r="W11" s="145">
        <v>21</v>
      </c>
      <c r="X11" s="145">
        <v>22</v>
      </c>
    </row>
    <row r="12" spans="1:24" s="149" customFormat="1" ht="31.5" customHeight="1" x14ac:dyDescent="0.25">
      <c r="A12" s="147"/>
      <c r="B12" s="148" t="s">
        <v>233</v>
      </c>
      <c r="C12" s="121">
        <f>C13+C15+C17+C19+C23+C25+C33+C36+C39</f>
        <v>1194.6899330000001</v>
      </c>
      <c r="D12" s="121">
        <f t="shared" ref="D12:T12" si="0">D13+D15+D17+D19+D23+D25+D33+D36+D39</f>
        <v>559.689933</v>
      </c>
      <c r="E12" s="121">
        <f t="shared" si="0"/>
        <v>635</v>
      </c>
      <c r="F12" s="121">
        <f t="shared" si="0"/>
        <v>786.41532099999995</v>
      </c>
      <c r="G12" s="121">
        <f t="shared" si="0"/>
        <v>198.63199700000001</v>
      </c>
      <c r="H12" s="121">
        <f t="shared" si="0"/>
        <v>587.78332399999999</v>
      </c>
      <c r="I12" s="121">
        <f t="shared" si="0"/>
        <v>2.5499999999999998</v>
      </c>
      <c r="J12" s="121">
        <f t="shared" si="0"/>
        <v>2.5499999999999998</v>
      </c>
      <c r="K12" s="121">
        <f t="shared" si="0"/>
        <v>0</v>
      </c>
      <c r="L12" s="121">
        <f t="shared" si="0"/>
        <v>0</v>
      </c>
      <c r="M12" s="121">
        <f t="shared" si="0"/>
        <v>0</v>
      </c>
      <c r="N12" s="121">
        <f t="shared" si="0"/>
        <v>0</v>
      </c>
      <c r="O12" s="121">
        <f t="shared" si="0"/>
        <v>6.9770000000000003</v>
      </c>
      <c r="P12" s="121">
        <f t="shared" si="0"/>
        <v>6.9770000000000003</v>
      </c>
      <c r="Q12" s="121">
        <f t="shared" si="0"/>
        <v>0</v>
      </c>
      <c r="R12" s="121">
        <f t="shared" si="0"/>
        <v>587.78332399999999</v>
      </c>
      <c r="S12" s="121">
        <f t="shared" si="0"/>
        <v>587.78332399999999</v>
      </c>
      <c r="T12" s="121">
        <f t="shared" si="0"/>
        <v>0</v>
      </c>
      <c r="U12" s="122">
        <f>F12/C12</f>
        <v>0.65825893336626939</v>
      </c>
      <c r="V12" s="122">
        <f t="shared" ref="V12:W15" si="1">G12/D12</f>
        <v>0.3548964976648955</v>
      </c>
      <c r="W12" s="122">
        <f t="shared" si="1"/>
        <v>0.9256430299212598</v>
      </c>
      <c r="X12" s="123"/>
    </row>
    <row r="13" spans="1:24" s="149" customFormat="1" ht="31.5" customHeight="1" x14ac:dyDescent="0.25">
      <c r="A13" s="147">
        <v>1</v>
      </c>
      <c r="B13" s="148" t="s">
        <v>234</v>
      </c>
      <c r="C13" s="121">
        <f>C14</f>
        <v>439.05</v>
      </c>
      <c r="D13" s="121"/>
      <c r="E13" s="121">
        <f>E14</f>
        <v>439.05</v>
      </c>
      <c r="F13" s="121">
        <f>F14</f>
        <v>405.79700000000003</v>
      </c>
      <c r="G13" s="121"/>
      <c r="H13" s="121">
        <f>H14</f>
        <v>405.79700000000003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>
        <f>R14</f>
        <v>405.79700000000003</v>
      </c>
      <c r="S13" s="121">
        <f>S14</f>
        <v>405.79700000000003</v>
      </c>
      <c r="T13" s="121"/>
      <c r="U13" s="122">
        <f t="shared" ref="U13:V39" si="2">F13/C13</f>
        <v>0.9242614736362601</v>
      </c>
      <c r="V13" s="122"/>
      <c r="W13" s="122">
        <f t="shared" si="1"/>
        <v>0.9242614736362601</v>
      </c>
      <c r="X13" s="123"/>
    </row>
    <row r="14" spans="1:24" s="152" customFormat="1" ht="31.5" customHeight="1" x14ac:dyDescent="0.25">
      <c r="A14" s="150" t="s">
        <v>235</v>
      </c>
      <c r="B14" s="151" t="s">
        <v>236</v>
      </c>
      <c r="C14" s="124">
        <v>439.05</v>
      </c>
      <c r="D14" s="124"/>
      <c r="E14" s="124">
        <v>439.05</v>
      </c>
      <c r="F14" s="124">
        <f>H14</f>
        <v>405.79700000000003</v>
      </c>
      <c r="G14" s="124"/>
      <c r="H14" s="124">
        <f>R14</f>
        <v>405.79700000000003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>
        <f>S14</f>
        <v>405.79700000000003</v>
      </c>
      <c r="S14" s="124">
        <v>405.79700000000003</v>
      </c>
      <c r="T14" s="124"/>
      <c r="U14" s="122"/>
      <c r="V14" s="122"/>
      <c r="W14" s="122"/>
      <c r="X14" s="125"/>
    </row>
    <row r="15" spans="1:24" s="149" customFormat="1" ht="31.5" customHeight="1" x14ac:dyDescent="0.25">
      <c r="A15" s="147">
        <v>2</v>
      </c>
      <c r="B15" s="148" t="s">
        <v>237</v>
      </c>
      <c r="C15" s="121">
        <f>C16</f>
        <v>195.95</v>
      </c>
      <c r="D15" s="121"/>
      <c r="E15" s="121">
        <f>E16</f>
        <v>195.95</v>
      </c>
      <c r="F15" s="121">
        <f>F16</f>
        <v>181.986324</v>
      </c>
      <c r="G15" s="121"/>
      <c r="H15" s="121">
        <f>H16</f>
        <v>181.986324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>
        <f>R16</f>
        <v>181.986324</v>
      </c>
      <c r="S15" s="121">
        <f>S16</f>
        <v>181.986324</v>
      </c>
      <c r="T15" s="121"/>
      <c r="U15" s="122">
        <f t="shared" si="2"/>
        <v>0.92873857616738964</v>
      </c>
      <c r="V15" s="122"/>
      <c r="W15" s="122">
        <f t="shared" si="1"/>
        <v>0.92873857616738964</v>
      </c>
      <c r="X15" s="123"/>
    </row>
    <row r="16" spans="1:24" s="152" customFormat="1" ht="31.5" customHeight="1" x14ac:dyDescent="0.25">
      <c r="A16" s="150" t="s">
        <v>235</v>
      </c>
      <c r="B16" s="151" t="s">
        <v>238</v>
      </c>
      <c r="C16" s="124">
        <v>195.95</v>
      </c>
      <c r="D16" s="124"/>
      <c r="E16" s="124">
        <v>195.95</v>
      </c>
      <c r="F16" s="124">
        <f>H16</f>
        <v>181.986324</v>
      </c>
      <c r="G16" s="124"/>
      <c r="H16" s="124">
        <f>R16</f>
        <v>181.986324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>
        <f>S16</f>
        <v>181.986324</v>
      </c>
      <c r="S16" s="124">
        <v>181.986324</v>
      </c>
      <c r="T16" s="124"/>
      <c r="U16" s="122"/>
      <c r="V16" s="122"/>
      <c r="W16" s="122"/>
      <c r="X16" s="125"/>
    </row>
    <row r="17" spans="1:24" s="149" customFormat="1" ht="31.5" customHeight="1" x14ac:dyDescent="0.25">
      <c r="A17" s="147">
        <v>3</v>
      </c>
      <c r="B17" s="148" t="s">
        <v>239</v>
      </c>
      <c r="C17" s="121">
        <f>C18</f>
        <v>1.552916</v>
      </c>
      <c r="D17" s="121">
        <f>D18</f>
        <v>1.552916</v>
      </c>
      <c r="E17" s="121"/>
      <c r="F17" s="121">
        <f>F18</f>
        <v>0</v>
      </c>
      <c r="G17" s="121">
        <f>G18</f>
        <v>0</v>
      </c>
      <c r="H17" s="121"/>
      <c r="I17" s="121">
        <f t="shared" ref="I17:J17" si="3">I18</f>
        <v>0</v>
      </c>
      <c r="J17" s="121">
        <f t="shared" si="3"/>
        <v>0</v>
      </c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2">
        <f t="shared" si="2"/>
        <v>0</v>
      </c>
      <c r="V17" s="122">
        <f t="shared" si="2"/>
        <v>0</v>
      </c>
      <c r="W17" s="122"/>
      <c r="X17" s="123"/>
    </row>
    <row r="18" spans="1:24" s="152" customFormat="1" ht="31.5" customHeight="1" x14ac:dyDescent="0.25">
      <c r="A18" s="150" t="s">
        <v>235</v>
      </c>
      <c r="B18" s="153" t="s">
        <v>240</v>
      </c>
      <c r="C18" s="124">
        <v>1.552916</v>
      </c>
      <c r="D18" s="124">
        <f>C18</f>
        <v>1.552916</v>
      </c>
      <c r="E18" s="124"/>
      <c r="F18" s="126">
        <v>0</v>
      </c>
      <c r="G18" s="126">
        <v>0</v>
      </c>
      <c r="H18" s="126"/>
      <c r="I18" s="126">
        <f>J18</f>
        <v>0</v>
      </c>
      <c r="J18" s="126">
        <v>0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2"/>
      <c r="V18" s="122"/>
      <c r="W18" s="122"/>
      <c r="X18" s="127"/>
    </row>
    <row r="19" spans="1:24" s="149" customFormat="1" ht="31.5" customHeight="1" x14ac:dyDescent="0.25">
      <c r="A19" s="147">
        <v>4</v>
      </c>
      <c r="B19" s="154" t="s">
        <v>241</v>
      </c>
      <c r="C19" s="121">
        <f>SUM(C20:C22)</f>
        <v>3.7682709999999995</v>
      </c>
      <c r="D19" s="121">
        <f>SUM(D20:D22)</f>
        <v>3.7682709999999995</v>
      </c>
      <c r="E19" s="121"/>
      <c r="F19" s="121">
        <f>SUM(F20:F22)</f>
        <v>2.5499999999999998</v>
      </c>
      <c r="G19" s="121">
        <f>SUM(G20:G22)</f>
        <v>2.5499999999999998</v>
      </c>
      <c r="H19" s="121"/>
      <c r="I19" s="121">
        <f>SUM(I20:I22)</f>
        <v>2.5499999999999998</v>
      </c>
      <c r="J19" s="121">
        <f>SUM(J20:J22)</f>
        <v>2.5499999999999998</v>
      </c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2">
        <f t="shared" si="2"/>
        <v>0.67670292290549172</v>
      </c>
      <c r="V19" s="122">
        <f t="shared" si="2"/>
        <v>0.67670292290549172</v>
      </c>
      <c r="W19" s="122"/>
      <c r="X19" s="123"/>
    </row>
    <row r="20" spans="1:24" s="152" customFormat="1" ht="37.5" customHeight="1" x14ac:dyDescent="0.25">
      <c r="A20" s="150" t="s">
        <v>242</v>
      </c>
      <c r="B20" s="153" t="s">
        <v>243</v>
      </c>
      <c r="C20" s="124">
        <v>1.2609680000000001</v>
      </c>
      <c r="D20" s="124">
        <v>1.2609680000000001</v>
      </c>
      <c r="E20" s="124"/>
      <c r="F20" s="126">
        <v>1.2250000000000001</v>
      </c>
      <c r="G20" s="126">
        <f t="shared" ref="G20:G21" si="4">F20</f>
        <v>1.2250000000000001</v>
      </c>
      <c r="H20" s="126"/>
      <c r="I20" s="126">
        <f>J20</f>
        <v>1.2250000000000001</v>
      </c>
      <c r="J20" s="126">
        <v>1.2250000000000001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2"/>
      <c r="V20" s="122"/>
      <c r="W20" s="122"/>
      <c r="X20" s="127"/>
    </row>
    <row r="21" spans="1:24" s="152" customFormat="1" ht="51.75" customHeight="1" x14ac:dyDescent="0.25">
      <c r="A21" s="150" t="s">
        <v>244</v>
      </c>
      <c r="B21" s="155" t="s">
        <v>245</v>
      </c>
      <c r="C21" s="124">
        <v>1.3273029999999999</v>
      </c>
      <c r="D21" s="124">
        <v>1.3273029999999999</v>
      </c>
      <c r="E21" s="124"/>
      <c r="F21" s="126">
        <v>1.325</v>
      </c>
      <c r="G21" s="126">
        <f t="shared" si="4"/>
        <v>1.325</v>
      </c>
      <c r="H21" s="126"/>
      <c r="I21" s="126">
        <f>J21</f>
        <v>1.325</v>
      </c>
      <c r="J21" s="126">
        <v>1.325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2"/>
      <c r="V21" s="122"/>
      <c r="W21" s="122"/>
      <c r="X21" s="127"/>
    </row>
    <row r="22" spans="1:24" s="152" customFormat="1" ht="31.5" customHeight="1" x14ac:dyDescent="0.25">
      <c r="A22" s="150" t="s">
        <v>246</v>
      </c>
      <c r="B22" s="156" t="s">
        <v>247</v>
      </c>
      <c r="C22" s="124">
        <v>1.18</v>
      </c>
      <c r="D22" s="124">
        <v>1.18</v>
      </c>
      <c r="E22" s="124"/>
      <c r="F22" s="126">
        <v>0</v>
      </c>
      <c r="G22" s="126">
        <f>F22</f>
        <v>0</v>
      </c>
      <c r="H22" s="126"/>
      <c r="I22" s="126">
        <f>J22</f>
        <v>0</v>
      </c>
      <c r="J22" s="126">
        <v>0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2"/>
      <c r="V22" s="122"/>
      <c r="W22" s="122"/>
      <c r="X22" s="127"/>
    </row>
    <row r="23" spans="1:24" s="149" customFormat="1" ht="31.5" customHeight="1" x14ac:dyDescent="0.25">
      <c r="A23" s="147">
        <v>4</v>
      </c>
      <c r="B23" s="157" t="s">
        <v>248</v>
      </c>
      <c r="C23" s="121">
        <f>C24</f>
        <v>168.532478</v>
      </c>
      <c r="D23" s="121">
        <f>D24</f>
        <v>168.532478</v>
      </c>
      <c r="E23" s="121"/>
      <c r="F23" s="128">
        <f>F24</f>
        <v>167.51</v>
      </c>
      <c r="G23" s="128">
        <f>G24</f>
        <v>167.51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2">
        <f t="shared" si="2"/>
        <v>0.99393305069661408</v>
      </c>
      <c r="V23" s="122">
        <f t="shared" si="2"/>
        <v>0.99393305069661408</v>
      </c>
      <c r="W23" s="122"/>
      <c r="X23" s="129"/>
    </row>
    <row r="24" spans="1:24" s="152" customFormat="1" ht="31.5" customHeight="1" x14ac:dyDescent="0.25">
      <c r="A24" s="150" t="s">
        <v>235</v>
      </c>
      <c r="B24" s="153" t="s">
        <v>249</v>
      </c>
      <c r="C24" s="124">
        <v>168.532478</v>
      </c>
      <c r="D24" s="124">
        <v>168.532478</v>
      </c>
      <c r="E24" s="124"/>
      <c r="F24" s="126">
        <v>167.51</v>
      </c>
      <c r="G24" s="126">
        <f>F24</f>
        <v>167.51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2"/>
      <c r="V24" s="122"/>
      <c r="W24" s="122"/>
      <c r="X24" s="127"/>
    </row>
    <row r="25" spans="1:24" s="149" customFormat="1" ht="31.5" customHeight="1" x14ac:dyDescent="0.25">
      <c r="A25" s="147">
        <v>5</v>
      </c>
      <c r="B25" s="154" t="s">
        <v>250</v>
      </c>
      <c r="C25" s="121">
        <f>SUM(C26:C32)</f>
        <v>183.10402499999998</v>
      </c>
      <c r="D25" s="121">
        <f t="shared" ref="D25:J25" si="5">SUM(D26:D32)</f>
        <v>183.10402499999998</v>
      </c>
      <c r="E25" s="121">
        <f t="shared" si="5"/>
        <v>0</v>
      </c>
      <c r="F25" s="121">
        <f t="shared" si="5"/>
        <v>21.594996999999999</v>
      </c>
      <c r="G25" s="121">
        <f t="shared" si="5"/>
        <v>21.594996999999999</v>
      </c>
      <c r="H25" s="121"/>
      <c r="I25" s="121">
        <f t="shared" si="5"/>
        <v>0</v>
      </c>
      <c r="J25" s="121">
        <f t="shared" si="5"/>
        <v>0</v>
      </c>
      <c r="K25" s="121"/>
      <c r="L25" s="121"/>
      <c r="M25" s="121"/>
      <c r="N25" s="121"/>
      <c r="O25" s="121">
        <f t="shared" ref="O25:P25" si="6">SUM(O26:O32)</f>
        <v>0</v>
      </c>
      <c r="P25" s="121">
        <f t="shared" si="6"/>
        <v>0</v>
      </c>
      <c r="Q25" s="121"/>
      <c r="R25" s="121"/>
      <c r="S25" s="121"/>
      <c r="T25" s="121"/>
      <c r="U25" s="122">
        <f t="shared" si="2"/>
        <v>0.11793840687008383</v>
      </c>
      <c r="V25" s="122">
        <f t="shared" si="2"/>
        <v>0.11793840687008383</v>
      </c>
      <c r="W25" s="122"/>
      <c r="X25" s="123"/>
    </row>
    <row r="26" spans="1:24" s="152" customFormat="1" ht="24.75" customHeight="1" x14ac:dyDescent="0.25">
      <c r="A26" s="150" t="s">
        <v>251</v>
      </c>
      <c r="B26" s="156" t="s">
        <v>252</v>
      </c>
      <c r="C26" s="124">
        <v>11.587876</v>
      </c>
      <c r="D26" s="124">
        <v>11.587876</v>
      </c>
      <c r="E26" s="124"/>
      <c r="F26" s="126">
        <v>0</v>
      </c>
      <c r="G26" s="126">
        <f>F26</f>
        <v>0</v>
      </c>
      <c r="H26" s="126"/>
      <c r="I26" s="126">
        <v>0</v>
      </c>
      <c r="J26" s="126">
        <f>I26</f>
        <v>0</v>
      </c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2"/>
      <c r="V26" s="122"/>
      <c r="W26" s="122"/>
      <c r="X26" s="127"/>
    </row>
    <row r="27" spans="1:24" s="152" customFormat="1" ht="31.5" customHeight="1" x14ac:dyDescent="0.25">
      <c r="A27" s="150" t="s">
        <v>253</v>
      </c>
      <c r="B27" s="156" t="s">
        <v>254</v>
      </c>
      <c r="C27" s="124">
        <v>8.9480000000000004</v>
      </c>
      <c r="D27" s="124">
        <v>8.9480000000000004</v>
      </c>
      <c r="E27" s="124"/>
      <c r="F27" s="126">
        <v>0</v>
      </c>
      <c r="G27" s="126">
        <f t="shared" ref="G27:G32" si="7">F27</f>
        <v>0</v>
      </c>
      <c r="H27" s="126"/>
      <c r="I27" s="126">
        <v>0</v>
      </c>
      <c r="J27" s="126">
        <f t="shared" ref="J27" si="8">I27</f>
        <v>0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2"/>
      <c r="V27" s="122"/>
      <c r="W27" s="122"/>
      <c r="X27" s="127"/>
    </row>
    <row r="28" spans="1:24" s="152" customFormat="1" ht="31.5" customHeight="1" x14ac:dyDescent="0.25">
      <c r="A28" s="150" t="s">
        <v>255</v>
      </c>
      <c r="B28" s="130" t="s">
        <v>256</v>
      </c>
      <c r="C28" s="124">
        <v>74.36</v>
      </c>
      <c r="D28" s="124">
        <v>74.36</v>
      </c>
      <c r="E28" s="124"/>
      <c r="F28" s="126">
        <v>18.832999999999998</v>
      </c>
      <c r="G28" s="126">
        <f t="shared" si="7"/>
        <v>18.832999999999998</v>
      </c>
      <c r="H28" s="126"/>
      <c r="I28" s="126"/>
      <c r="J28" s="126"/>
      <c r="K28" s="126"/>
      <c r="L28" s="126"/>
      <c r="M28" s="126"/>
      <c r="N28" s="126"/>
      <c r="O28" s="126">
        <v>0</v>
      </c>
      <c r="P28" s="126">
        <v>0</v>
      </c>
      <c r="Q28" s="126"/>
      <c r="R28" s="126"/>
      <c r="S28" s="126"/>
      <c r="T28" s="126"/>
      <c r="U28" s="122"/>
      <c r="V28" s="122"/>
      <c r="W28" s="122"/>
      <c r="X28" s="127"/>
    </row>
    <row r="29" spans="1:24" s="152" customFormat="1" ht="31.5" customHeight="1" x14ac:dyDescent="0.25">
      <c r="A29" s="150" t="s">
        <v>257</v>
      </c>
      <c r="B29" s="155" t="s">
        <v>258</v>
      </c>
      <c r="C29" s="124">
        <v>8.3907629999999997</v>
      </c>
      <c r="D29" s="124">
        <v>8.3907629999999997</v>
      </c>
      <c r="E29" s="124"/>
      <c r="F29" s="126">
        <v>2.761997</v>
      </c>
      <c r="G29" s="126">
        <f t="shared" si="7"/>
        <v>2.761997</v>
      </c>
      <c r="H29" s="126"/>
      <c r="I29" s="126"/>
      <c r="J29" s="126"/>
      <c r="K29" s="126"/>
      <c r="L29" s="126"/>
      <c r="M29" s="126"/>
      <c r="N29" s="126"/>
      <c r="O29" s="126">
        <v>0</v>
      </c>
      <c r="P29" s="126">
        <v>0</v>
      </c>
      <c r="Q29" s="126"/>
      <c r="R29" s="126"/>
      <c r="S29" s="126"/>
      <c r="T29" s="126"/>
      <c r="U29" s="122"/>
      <c r="V29" s="122"/>
      <c r="W29" s="122"/>
      <c r="X29" s="127"/>
    </row>
    <row r="30" spans="1:24" s="152" customFormat="1" ht="31.5" customHeight="1" x14ac:dyDescent="0.25">
      <c r="A30" s="150" t="s">
        <v>259</v>
      </c>
      <c r="B30" s="156" t="s">
        <v>260</v>
      </c>
      <c r="C30" s="124">
        <v>1.657</v>
      </c>
      <c r="D30" s="124">
        <v>1.657</v>
      </c>
      <c r="E30" s="124"/>
      <c r="F30" s="126">
        <v>0</v>
      </c>
      <c r="G30" s="126">
        <f t="shared" si="7"/>
        <v>0</v>
      </c>
      <c r="H30" s="126"/>
      <c r="I30" s="126"/>
      <c r="J30" s="126"/>
      <c r="K30" s="126"/>
      <c r="L30" s="126"/>
      <c r="M30" s="126"/>
      <c r="N30" s="126"/>
      <c r="O30" s="126">
        <v>0</v>
      </c>
      <c r="P30" s="126">
        <f t="shared" ref="P30:P32" si="9">O30</f>
        <v>0</v>
      </c>
      <c r="Q30" s="126"/>
      <c r="R30" s="126"/>
      <c r="S30" s="126"/>
      <c r="T30" s="126"/>
      <c r="U30" s="122"/>
      <c r="V30" s="122"/>
      <c r="W30" s="122"/>
      <c r="X30" s="127"/>
    </row>
    <row r="31" spans="1:24" s="152" customFormat="1" ht="34.5" customHeight="1" x14ac:dyDescent="0.25">
      <c r="A31" s="150" t="s">
        <v>261</v>
      </c>
      <c r="B31" s="156" t="s">
        <v>262</v>
      </c>
      <c r="C31" s="124">
        <v>29.409931</v>
      </c>
      <c r="D31" s="124">
        <v>29.409931</v>
      </c>
      <c r="E31" s="124"/>
      <c r="F31" s="126">
        <v>0</v>
      </c>
      <c r="G31" s="126">
        <f t="shared" si="7"/>
        <v>0</v>
      </c>
      <c r="H31" s="126"/>
      <c r="I31" s="126"/>
      <c r="J31" s="126"/>
      <c r="K31" s="126"/>
      <c r="L31" s="126"/>
      <c r="M31" s="126"/>
      <c r="N31" s="126"/>
      <c r="O31" s="126">
        <v>0</v>
      </c>
      <c r="P31" s="126">
        <f t="shared" si="9"/>
        <v>0</v>
      </c>
      <c r="Q31" s="126"/>
      <c r="R31" s="126"/>
      <c r="S31" s="126"/>
      <c r="T31" s="126"/>
      <c r="U31" s="122"/>
      <c r="V31" s="122"/>
      <c r="W31" s="122"/>
      <c r="X31" s="127"/>
    </row>
    <row r="32" spans="1:24" s="152" customFormat="1" ht="35.25" customHeight="1" x14ac:dyDescent="0.25">
      <c r="A32" s="150" t="s">
        <v>263</v>
      </c>
      <c r="B32" s="156" t="s">
        <v>264</v>
      </c>
      <c r="C32" s="124">
        <v>48.750455000000002</v>
      </c>
      <c r="D32" s="124">
        <v>48.750455000000002</v>
      </c>
      <c r="E32" s="124"/>
      <c r="F32" s="126">
        <v>0</v>
      </c>
      <c r="G32" s="126">
        <f t="shared" si="7"/>
        <v>0</v>
      </c>
      <c r="H32" s="126"/>
      <c r="I32" s="126"/>
      <c r="J32" s="126"/>
      <c r="K32" s="126"/>
      <c r="L32" s="126"/>
      <c r="M32" s="126"/>
      <c r="N32" s="126"/>
      <c r="O32" s="126">
        <v>0</v>
      </c>
      <c r="P32" s="126">
        <f t="shared" si="9"/>
        <v>0</v>
      </c>
      <c r="Q32" s="126"/>
      <c r="R32" s="126"/>
      <c r="S32" s="126"/>
      <c r="T32" s="126"/>
      <c r="U32" s="122"/>
      <c r="V32" s="122"/>
      <c r="W32" s="122"/>
      <c r="X32" s="127"/>
    </row>
    <row r="33" spans="1:24" s="149" customFormat="1" ht="35.25" customHeight="1" x14ac:dyDescent="0.25">
      <c r="A33" s="147">
        <v>6</v>
      </c>
      <c r="B33" s="157" t="s">
        <v>265</v>
      </c>
      <c r="C33" s="121">
        <f>C34+C35</f>
        <v>8.2671930000000007</v>
      </c>
      <c r="D33" s="121">
        <f>D34+D35</f>
        <v>8.2671930000000007</v>
      </c>
      <c r="E33" s="121"/>
      <c r="F33" s="121">
        <f>F34+F35</f>
        <v>0</v>
      </c>
      <c r="G33" s="121">
        <f>G34+G35</f>
        <v>0</v>
      </c>
      <c r="H33" s="121"/>
      <c r="I33" s="121"/>
      <c r="J33" s="121"/>
      <c r="K33" s="121"/>
      <c r="L33" s="121"/>
      <c r="M33" s="121"/>
      <c r="N33" s="121"/>
      <c r="O33" s="121">
        <f>O34+O35</f>
        <v>0</v>
      </c>
      <c r="P33" s="121">
        <f>P34+P35</f>
        <v>0</v>
      </c>
      <c r="Q33" s="121"/>
      <c r="R33" s="121"/>
      <c r="S33" s="121"/>
      <c r="T33" s="121"/>
      <c r="U33" s="122">
        <f t="shared" si="2"/>
        <v>0</v>
      </c>
      <c r="V33" s="122">
        <f t="shared" si="2"/>
        <v>0</v>
      </c>
      <c r="W33" s="122"/>
      <c r="X33" s="123"/>
    </row>
    <row r="34" spans="1:24" s="152" customFormat="1" ht="36" customHeight="1" x14ac:dyDescent="0.25">
      <c r="A34" s="150" t="s">
        <v>266</v>
      </c>
      <c r="B34" s="151" t="s">
        <v>267</v>
      </c>
      <c r="C34" s="124">
        <v>0.28719299999999998</v>
      </c>
      <c r="D34" s="124">
        <v>0.28719299999999998</v>
      </c>
      <c r="E34" s="124"/>
      <c r="F34" s="126">
        <v>0</v>
      </c>
      <c r="G34" s="126">
        <v>0</v>
      </c>
      <c r="H34" s="126"/>
      <c r="I34" s="126"/>
      <c r="J34" s="126"/>
      <c r="K34" s="126"/>
      <c r="L34" s="126"/>
      <c r="M34" s="126"/>
      <c r="N34" s="126"/>
      <c r="O34" s="126">
        <v>0</v>
      </c>
      <c r="P34" s="126">
        <v>0</v>
      </c>
      <c r="Q34" s="126"/>
      <c r="R34" s="126"/>
      <c r="S34" s="126"/>
      <c r="T34" s="126"/>
      <c r="U34" s="122"/>
      <c r="V34" s="122"/>
      <c r="W34" s="122"/>
      <c r="X34" s="127"/>
    </row>
    <row r="35" spans="1:24" s="152" customFormat="1" ht="37.5" customHeight="1" x14ac:dyDescent="0.25">
      <c r="A35" s="150" t="s">
        <v>268</v>
      </c>
      <c r="B35" s="156" t="s">
        <v>269</v>
      </c>
      <c r="C35" s="124">
        <v>7.98</v>
      </c>
      <c r="D35" s="124">
        <v>7.98</v>
      </c>
      <c r="E35" s="124"/>
      <c r="F35" s="126">
        <v>0</v>
      </c>
      <c r="G35" s="126">
        <v>0</v>
      </c>
      <c r="H35" s="126"/>
      <c r="I35" s="126"/>
      <c r="J35" s="126"/>
      <c r="K35" s="126"/>
      <c r="L35" s="126"/>
      <c r="M35" s="126"/>
      <c r="N35" s="126"/>
      <c r="O35" s="126">
        <v>0</v>
      </c>
      <c r="P35" s="126">
        <v>0</v>
      </c>
      <c r="Q35" s="126"/>
      <c r="R35" s="126"/>
      <c r="S35" s="126"/>
      <c r="T35" s="126"/>
      <c r="U35" s="122"/>
      <c r="V35" s="122"/>
      <c r="W35" s="122"/>
      <c r="X35" s="127"/>
    </row>
    <row r="36" spans="1:24" s="149" customFormat="1" ht="35.25" customHeight="1" x14ac:dyDescent="0.25">
      <c r="A36" s="147">
        <v>7</v>
      </c>
      <c r="B36" s="157" t="s">
        <v>270</v>
      </c>
      <c r="C36" s="121">
        <f>C37+C38</f>
        <v>105.92725800000001</v>
      </c>
      <c r="D36" s="121">
        <f>D37+D38</f>
        <v>105.92725800000001</v>
      </c>
      <c r="E36" s="121"/>
      <c r="F36" s="121">
        <f>F37+F38</f>
        <v>6.9770000000000003</v>
      </c>
      <c r="G36" s="121">
        <f>G37+G38</f>
        <v>6.9770000000000003</v>
      </c>
      <c r="H36" s="121"/>
      <c r="I36" s="121"/>
      <c r="J36" s="121"/>
      <c r="K36" s="121"/>
      <c r="L36" s="121"/>
      <c r="M36" s="121"/>
      <c r="N36" s="121"/>
      <c r="O36" s="121">
        <f>O37+O38</f>
        <v>6.9770000000000003</v>
      </c>
      <c r="P36" s="121">
        <f>P37+P38</f>
        <v>6.9770000000000003</v>
      </c>
      <c r="Q36" s="121"/>
      <c r="R36" s="121"/>
      <c r="S36" s="121"/>
      <c r="T36" s="121"/>
      <c r="U36" s="122">
        <f t="shared" si="2"/>
        <v>6.5865954917855046E-2</v>
      </c>
      <c r="V36" s="122">
        <f t="shared" si="2"/>
        <v>6.5865954917855046E-2</v>
      </c>
      <c r="W36" s="122"/>
      <c r="X36" s="123"/>
    </row>
    <row r="37" spans="1:24" s="152" customFormat="1" ht="39" customHeight="1" x14ac:dyDescent="0.25">
      <c r="A37" s="150" t="s">
        <v>271</v>
      </c>
      <c r="B37" s="158" t="s">
        <v>272</v>
      </c>
      <c r="C37" s="124">
        <v>65.519056000000006</v>
      </c>
      <c r="D37" s="124">
        <v>65.519056000000006</v>
      </c>
      <c r="E37" s="124"/>
      <c r="F37" s="126">
        <v>6.9770000000000003</v>
      </c>
      <c r="G37" s="126">
        <v>6.9770000000000003</v>
      </c>
      <c r="H37" s="126"/>
      <c r="I37" s="126"/>
      <c r="J37" s="126"/>
      <c r="K37" s="126"/>
      <c r="L37" s="126"/>
      <c r="M37" s="126"/>
      <c r="N37" s="126"/>
      <c r="O37" s="126">
        <v>6.9770000000000003</v>
      </c>
      <c r="P37" s="126">
        <v>6.9770000000000003</v>
      </c>
      <c r="Q37" s="126"/>
      <c r="R37" s="126"/>
      <c r="S37" s="126"/>
      <c r="T37" s="126"/>
      <c r="U37" s="122"/>
      <c r="V37" s="122"/>
      <c r="W37" s="122"/>
      <c r="X37" s="127"/>
    </row>
    <row r="38" spans="1:24" s="152" customFormat="1" ht="31.5" customHeight="1" x14ac:dyDescent="0.25">
      <c r="A38" s="150" t="s">
        <v>273</v>
      </c>
      <c r="B38" s="156" t="s">
        <v>274</v>
      </c>
      <c r="C38" s="124">
        <v>40.408202000000003</v>
      </c>
      <c r="D38" s="124">
        <v>40.408202000000003</v>
      </c>
      <c r="E38" s="124"/>
      <c r="F38" s="126">
        <v>0</v>
      </c>
      <c r="G38" s="126">
        <v>0</v>
      </c>
      <c r="H38" s="126"/>
      <c r="I38" s="126"/>
      <c r="J38" s="126"/>
      <c r="K38" s="126"/>
      <c r="L38" s="126"/>
      <c r="M38" s="126"/>
      <c r="N38" s="126"/>
      <c r="O38" s="126">
        <v>0</v>
      </c>
      <c r="P38" s="126">
        <v>0</v>
      </c>
      <c r="Q38" s="126"/>
      <c r="R38" s="126"/>
      <c r="S38" s="126"/>
      <c r="T38" s="126"/>
      <c r="U38" s="122"/>
      <c r="V38" s="122"/>
      <c r="W38" s="122"/>
      <c r="X38" s="127"/>
    </row>
    <row r="39" spans="1:24" s="149" customFormat="1" ht="31.5" customHeight="1" x14ac:dyDescent="0.25">
      <c r="A39" s="147">
        <v>8</v>
      </c>
      <c r="B39" s="157" t="s">
        <v>275</v>
      </c>
      <c r="C39" s="121">
        <f>C40+C41</f>
        <v>88.537791999999982</v>
      </c>
      <c r="D39" s="121">
        <f t="shared" ref="D39:P39" si="10">D40+D41</f>
        <v>88.537791999999982</v>
      </c>
      <c r="E39" s="121"/>
      <c r="F39" s="121">
        <f t="shared" si="10"/>
        <v>0</v>
      </c>
      <c r="G39" s="121">
        <f t="shared" si="10"/>
        <v>0</v>
      </c>
      <c r="H39" s="121"/>
      <c r="I39" s="121">
        <f t="shared" si="10"/>
        <v>0</v>
      </c>
      <c r="J39" s="121">
        <f t="shared" si="10"/>
        <v>0</v>
      </c>
      <c r="K39" s="121"/>
      <c r="L39" s="121"/>
      <c r="M39" s="121"/>
      <c r="N39" s="121"/>
      <c r="O39" s="121">
        <f t="shared" si="10"/>
        <v>0</v>
      </c>
      <c r="P39" s="121">
        <f t="shared" si="10"/>
        <v>0</v>
      </c>
      <c r="Q39" s="121"/>
      <c r="R39" s="121"/>
      <c r="S39" s="121"/>
      <c r="T39" s="121"/>
      <c r="U39" s="122">
        <f t="shared" si="2"/>
        <v>0</v>
      </c>
      <c r="V39" s="122">
        <f t="shared" si="2"/>
        <v>0</v>
      </c>
      <c r="W39" s="122"/>
      <c r="X39" s="123"/>
    </row>
    <row r="40" spans="1:24" s="152" customFormat="1" ht="22.5" customHeight="1" x14ac:dyDescent="0.25">
      <c r="A40" s="150" t="s">
        <v>276</v>
      </c>
      <c r="B40" s="156" t="s">
        <v>277</v>
      </c>
      <c r="C40" s="124">
        <v>19.891521999999981</v>
      </c>
      <c r="D40" s="124">
        <f>C40</f>
        <v>19.891521999999981</v>
      </c>
      <c r="E40" s="124"/>
      <c r="F40" s="126">
        <v>0</v>
      </c>
      <c r="G40" s="126">
        <v>0</v>
      </c>
      <c r="H40" s="126"/>
      <c r="I40" s="126">
        <v>0</v>
      </c>
      <c r="J40" s="126">
        <v>0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2"/>
      <c r="V40" s="122"/>
      <c r="W40" s="122"/>
      <c r="X40" s="127"/>
    </row>
    <row r="41" spans="1:24" s="152" customFormat="1" ht="27" customHeight="1" x14ac:dyDescent="0.25">
      <c r="A41" s="159" t="s">
        <v>278</v>
      </c>
      <c r="B41" s="160" t="s">
        <v>279</v>
      </c>
      <c r="C41" s="131">
        <v>68.646270000000001</v>
      </c>
      <c r="D41" s="131">
        <f>C41</f>
        <v>68.646270000000001</v>
      </c>
      <c r="E41" s="131"/>
      <c r="F41" s="132">
        <v>0</v>
      </c>
      <c r="G41" s="132">
        <v>0</v>
      </c>
      <c r="H41" s="132"/>
      <c r="I41" s="132"/>
      <c r="J41" s="132"/>
      <c r="K41" s="132"/>
      <c r="L41" s="132"/>
      <c r="M41" s="132"/>
      <c r="N41" s="132"/>
      <c r="O41" s="132">
        <v>0</v>
      </c>
      <c r="P41" s="132">
        <v>0</v>
      </c>
      <c r="Q41" s="132"/>
      <c r="R41" s="132"/>
      <c r="S41" s="132"/>
      <c r="T41" s="132"/>
      <c r="U41" s="133"/>
      <c r="V41" s="133"/>
      <c r="W41" s="133"/>
      <c r="X41" s="134"/>
    </row>
  </sheetData>
  <mergeCells count="30">
    <mergeCell ref="A6:A10"/>
    <mergeCell ref="B6:B10"/>
    <mergeCell ref="C6:E7"/>
    <mergeCell ref="F6:T7"/>
    <mergeCell ref="U6:W7"/>
    <mergeCell ref="D9:D10"/>
    <mergeCell ref="E9:E10"/>
    <mergeCell ref="G9:G10"/>
    <mergeCell ref="H9:H10"/>
    <mergeCell ref="I9:K9"/>
    <mergeCell ref="O9:Q9"/>
    <mergeCell ref="R9:T9"/>
    <mergeCell ref="V9:V10"/>
    <mergeCell ref="W9:W10"/>
    <mergeCell ref="I8:N8"/>
    <mergeCell ref="O8:T8"/>
    <mergeCell ref="X6:X10"/>
    <mergeCell ref="C8:C10"/>
    <mergeCell ref="D8:E8"/>
    <mergeCell ref="F8:F10"/>
    <mergeCell ref="G8:H8"/>
    <mergeCell ref="U8:U10"/>
    <mergeCell ref="V8:W8"/>
    <mergeCell ref="L9:N9"/>
    <mergeCell ref="U5:X5"/>
    <mergeCell ref="A1:B1"/>
    <mergeCell ref="A2:B2"/>
    <mergeCell ref="A3:X3"/>
    <mergeCell ref="A4:X4"/>
    <mergeCell ref="U1:X1"/>
  </mergeCells>
  <printOptions horizontalCentered="1"/>
  <pageMargins left="0" right="0" top="0.51181102362204001" bottom="0.4" header="0.511811023622047" footer="0.35433070866141703"/>
  <pageSetup paperSize="9" scale="50" fitToHeight="0" orientation="landscape" useFirstPageNumber="1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96</vt:lpstr>
      <vt:lpstr>97</vt:lpstr>
      <vt:lpstr>98</vt:lpstr>
      <vt:lpstr>99</vt:lpstr>
      <vt:lpstr>100</vt:lpstr>
      <vt:lpstr>101</vt:lpstr>
      <vt:lpstr>102</vt:lpstr>
      <vt:lpstr>'100'!Print_Titles</vt:lpstr>
      <vt:lpstr>'102'!Print_Titles</vt:lpstr>
      <vt:lpstr>'97'!Print_Titles</vt:lpstr>
      <vt:lpstr>'98'!Print_Titles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2022-07-19T23:18:48Z</dcterms:modified>
</cp:coreProperties>
</file>